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Patients" sheetId="3" state="visible" r:id="rId3"/>
    <sheet xmlns:r="http://schemas.openxmlformats.org/officeDocument/2006/relationships" name="Summary" sheetId="4" state="visible" r:id="rId4"/>
  </sheets>
  <definedNames>
    <definedName name="Orthodontists">'Settings'!$A$11:$A$16</definedName>
    <definedName name="Appliances">'Settings'!$B$11:$B$18</definedName>
    <definedName name="States">'Settings'!$C$11:$C$14</definedName>
    <definedName name="_xlnm._FilterDatabase" localSheetId="2" hidden="1">'Patients'!$A$2:$AA$402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B2A40"/>
      <sz val="10"/>
    </font>
    <font>
      <name val="Arial"/>
      <b val="1"/>
      <color rgb="000B2A40"/>
      <sz val="10"/>
    </font>
    <font>
      <name val="Arial"/>
      <i val="1"/>
      <color rgb="005F6B75"/>
      <sz val="9"/>
    </font>
    <font>
      <name val="Arial"/>
      <b val="1"/>
      <color rgb="00044D80"/>
      <sz val="15"/>
    </font>
    <font>
      <name val="Arial"/>
      <b val="1"/>
      <color rgb="00044D80"/>
      <sz val="14"/>
    </font>
    <font>
      <name val="Arial"/>
      <b val="1"/>
      <color rgb="00044D80"/>
      <sz val="10"/>
    </font>
  </fonts>
  <fills count="7">
    <fill>
      <patternFill/>
    </fill>
    <fill>
      <patternFill patternType="gray125"/>
    </fill>
    <fill>
      <patternFill patternType="solid">
        <fgColor rgb="00044D80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3F4FD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2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9" fontId="2" fillId="3" borderId="1" applyAlignment="1" applyProtection="1" pivotButton="0" quotePrefix="0" xfId="5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7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4" fontId="2" fillId="4" borderId="1" applyAlignment="1" pivotButton="0" quotePrefix="0" xfId="9">
      <alignment horizontal="center" vertical="center" readingOrder="1"/>
    </xf>
    <xf numFmtId="166" fontId="2" fillId="4" borderId="1" applyAlignment="1" pivotButton="0" quotePrefix="0" xfId="11">
      <alignment horizontal="center" vertical="center" readingOrder="1"/>
    </xf>
    <xf numFmtId="164" fontId="2" fillId="4" borderId="1" applyAlignment="1" pivotButton="0" quotePrefix="0" xfId="12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3" fontId="3" fillId="4" borderId="1" applyAlignment="1" pivotButton="0" quotePrefix="0" xfId="10">
      <alignment horizontal="center" vertical="center" readingOrder="1"/>
    </xf>
    <xf numFmtId="4" fontId="3" fillId="4" borderId="1" applyAlignment="1" pivotButton="0" quotePrefix="0" xfId="9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Dentolize</author>
  </authors>
  <commentList>
    <comment ref="B6" authorId="0" shapeId="0">
      <text>
        <t>Type =TODAY() to keep it current. The file has a fixed date so the sample makes sense.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orthodontic-patient-tracker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orthodontic-patient-tracker" TargetMode="External" Id="rId1"/></Relationships>
</file>

<file path=xl/worksheets/sheet1.xml><?xml version="1.0" encoding="utf-8"?>
<worksheet xmlns="http://schemas.openxmlformats.org/spreadsheetml/2006/main">
  <sheetPr>
    <tabColor rgb="00044D80"/>
    <outlinePr summaryBelow="1" summaryRight="1"/>
    <pageSetUpPr fitToPage="1"/>
  </sheetPr>
  <dimension ref="A1:C40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44" customWidth="1" min="1" max="1"/>
    <col width="24" customWidth="1" min="2" max="2"/>
    <col width="16" customWidth="1" min="3" max="3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Lulu Dental Clinic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A6" s="3" t="inlineStr">
        <is>
          <t>Today</t>
        </is>
      </c>
      <c r="B6" s="5" t="n">
        <v>46293</v>
      </c>
    </row>
    <row r="7">
      <c r="A7" s="3" t="inlineStr">
        <is>
          <t>Overdue when the due visit is past by (days)</t>
        </is>
      </c>
      <c r="B7" s="6" t="n">
        <v>14</v>
      </c>
    </row>
    <row r="8">
      <c r="A8" s="3" t="inlineStr">
        <is>
          <t>Amber when treatment time exceeds the plan by</t>
        </is>
      </c>
      <c r="B8" s="7" t="n">
        <v>0.1</v>
      </c>
    </row>
    <row r="10">
      <c r="A10" s="8" t="inlineStr">
        <is>
          <t>Orthodontists</t>
        </is>
      </c>
      <c r="B10" s="8" t="inlineStr">
        <is>
          <t>Appliance</t>
        </is>
      </c>
      <c r="C10" s="8" t="inlineStr">
        <is>
          <t>Treatment status</t>
        </is>
      </c>
    </row>
    <row r="11">
      <c r="A11" s="4" t="inlineStr">
        <is>
          <t>Dr Tarek Hamdy</t>
        </is>
      </c>
      <c r="B11" s="4" t="inlineStr">
        <is>
          <t>Fixed, metal brackets</t>
        </is>
      </c>
      <c r="C11" s="9" t="inlineStr">
        <is>
          <t>Active</t>
        </is>
      </c>
    </row>
    <row r="12">
      <c r="A12" s="4" t="inlineStr">
        <is>
          <t>Dr Reem Al Otaibi</t>
        </is>
      </c>
      <c r="B12" s="4" t="inlineStr">
        <is>
          <t>Fixed, ceramic brackets</t>
        </is>
      </c>
      <c r="C12" s="9" t="inlineStr">
        <is>
          <t>Retention</t>
        </is>
      </c>
    </row>
    <row r="13">
      <c r="A13" s="4" t="n"/>
      <c r="B13" s="4" t="inlineStr">
        <is>
          <t>Clear aligners</t>
        </is>
      </c>
      <c r="C13" s="9" t="inlineStr">
        <is>
          <t>Paused</t>
        </is>
      </c>
    </row>
    <row r="14">
      <c r="A14" s="4" t="n"/>
      <c r="B14" s="4" t="inlineStr">
        <is>
          <t>Removable appliance</t>
        </is>
      </c>
      <c r="C14" s="9" t="inlineStr">
        <is>
          <t>Finished</t>
        </is>
      </c>
    </row>
    <row r="15">
      <c r="A15" s="4" t="n"/>
      <c r="B15" s="4" t="inlineStr">
        <is>
          <t>Retainer only</t>
        </is>
      </c>
      <c r="C15" s="4" t="n"/>
    </row>
    <row r="16">
      <c r="A16" s="4" t="n"/>
      <c r="B16" s="4" t="n"/>
      <c r="C16" s="4" t="n"/>
    </row>
    <row r="17">
      <c r="A17" s="4" t="n"/>
      <c r="B17" s="4" t="n"/>
      <c r="C17" s="4" t="n"/>
    </row>
    <row r="18">
      <c r="A18" s="4" t="n"/>
      <c r="B18" s="4" t="n"/>
      <c r="C18" s="4" t="n"/>
    </row>
    <row r="19">
      <c r="A19" s="4" t="n"/>
      <c r="B19" s="4" t="n"/>
      <c r="C19" s="4" t="n"/>
    </row>
    <row r="20">
      <c r="A20" s="4" t="n"/>
      <c r="B20" s="4" t="n"/>
      <c r="C20" s="4" t="n"/>
    </row>
    <row r="21">
      <c r="A21" s="4" t="n"/>
      <c r="B21" s="4" t="n"/>
      <c r="C21" s="4" t="n"/>
    </row>
    <row r="22">
      <c r="A22" s="4" t="n"/>
      <c r="B22" s="4" t="n"/>
      <c r="C22" s="4" t="n"/>
    </row>
    <row r="23">
      <c r="A23" s="4" t="n"/>
      <c r="B23" s="4" t="n"/>
      <c r="C23" s="4" t="n"/>
    </row>
    <row r="24">
      <c r="A24" s="4" t="n"/>
      <c r="B24" s="4" t="n"/>
      <c r="C24" s="4" t="n"/>
    </row>
    <row r="25">
      <c r="A25" s="4" t="n"/>
      <c r="B25" s="4" t="n"/>
      <c r="C25" s="4" t="n"/>
    </row>
    <row r="26">
      <c r="A26" s="4" t="n"/>
      <c r="B26" s="4" t="n"/>
      <c r="C26" s="4" t="n"/>
    </row>
    <row r="27">
      <c r="A27" s="4" t="n"/>
      <c r="B27" s="4" t="n"/>
      <c r="C27" s="4" t="n"/>
    </row>
    <row r="28">
      <c r="A28" s="4" t="n"/>
      <c r="B28" s="4" t="n"/>
      <c r="C28" s="4" t="n"/>
    </row>
    <row r="29">
      <c r="A29" s="4" t="n"/>
      <c r="B29" s="4" t="n"/>
      <c r="C29" s="4" t="n"/>
    </row>
    <row r="30">
      <c r="A30" s="4" t="n"/>
      <c r="B30" s="4" t="n"/>
      <c r="C30" s="4" t="n"/>
    </row>
    <row r="31">
      <c r="A31" s="4" t="n"/>
      <c r="B31" s="4" t="n"/>
      <c r="C31" s="4" t="n"/>
    </row>
    <row r="32">
      <c r="A32" s="4" t="n"/>
      <c r="B32" s="4" t="n"/>
      <c r="C32" s="4" t="n"/>
    </row>
    <row r="33">
      <c r="A33" s="4" t="n"/>
      <c r="B33" s="4" t="n"/>
      <c r="C33" s="4" t="n"/>
    </row>
    <row r="34">
      <c r="A34" s="4" t="n"/>
      <c r="B34" s="4" t="n"/>
      <c r="C34" s="4" t="n"/>
    </row>
    <row r="35">
      <c r="A35" s="4" t="n"/>
      <c r="B35" s="4" t="n"/>
      <c r="C35" s="4" t="n"/>
    </row>
    <row r="36">
      <c r="A36" s="4" t="n"/>
      <c r="B36" s="4" t="n"/>
      <c r="C36" s="4" t="n"/>
    </row>
    <row r="37">
      <c r="A37" s="4" t="n"/>
      <c r="B37" s="4" t="n"/>
      <c r="C37" s="4" t="n"/>
    </row>
    <row r="38">
      <c r="A38" s="4" t="n"/>
      <c r="B38" s="4" t="n"/>
      <c r="C38" s="4" t="n"/>
    </row>
    <row r="39">
      <c r="A39" s="4" t="n"/>
      <c r="B39" s="4" t="n"/>
      <c r="C39" s="4" t="n"/>
    </row>
    <row r="40">
      <c r="A40" s="4" t="n"/>
      <c r="B40" s="4" t="n"/>
      <c r="C40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"SAR,AED,QAR,KWD,BHD,OMR,EGP,JOD,IQD,LYD,USD,EUR,GBP"</formula1>
    </dataValidation>
  </dataValidation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10" t="inlineStr">
        <is>
          <t>On Settings, list your orthodontists and appliance types, the grace days before a visit counts as overdue, and today's date (or =TODAY()).</t>
        </is>
      </c>
    </row>
    <row r="4" ht="30" customHeight="1">
      <c r="A4" s="3" t="n">
        <v>2</v>
      </c>
      <c r="B4" s="10" t="inlineStr">
        <is>
          <t>On Patients, one row per patient: appliance, start date, planned months and how often they are seen, the fee, down payment and number of instalments.</t>
        </is>
      </c>
    </row>
    <row r="5" ht="30" customHeight="1">
      <c r="A5" s="3" t="n">
        <v>3</v>
      </c>
      <c r="B5" s="10" t="inlineStr">
        <is>
          <t>After each visit, update Last visit and Next visit booked, and the aligner number for aligner patients. After each payment, update Paid to date.</t>
        </is>
      </c>
    </row>
    <row r="6" ht="30" customHeight="1">
      <c r="A6" s="3" t="n">
        <v>4</v>
      </c>
      <c r="B6" s="10" t="inlineStr">
        <is>
          <t>Visits colours anyone past their visit with nothing booked, and Payments colours anyone behind. Summary brings both together and gives you the call list.</t>
        </is>
      </c>
    </row>
    <row r="7" ht="30" customHeight="1">
      <c r="A7" s="3" t="n">
        <v>5</v>
      </c>
      <c r="B7" s="10" t="inlineStr">
        <is>
          <t>Grey cells are formulas, protected without a password. To lift it: Review → Unprotect sheet.</t>
        </is>
      </c>
    </row>
    <row r="9">
      <c r="B9" s="11" t="inlineStr">
        <is>
          <t>Clearing the sample data</t>
        </is>
      </c>
    </row>
    <row r="10" ht="30" customHeight="1">
      <c r="B10" s="10" t="inlineStr">
        <is>
          <t>Select these ranges and press Delete. Do not delete the rows themselves: the formulas in the grey columns stay and work with your numbers.</t>
        </is>
      </c>
    </row>
    <row r="11">
      <c r="B11" s="12" t="inlineStr">
        <is>
          <t>Patients: A3:P38</t>
        </is>
      </c>
    </row>
    <row r="13">
      <c r="B13" s="11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AA4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0" customWidth="1" min="2" max="2"/>
    <col width="18" customWidth="1" min="3" max="3"/>
    <col width="20" customWidth="1" min="4" max="4"/>
    <col width="11" customWidth="1" min="5" max="5"/>
    <col width="9" customWidth="1" min="6" max="6"/>
    <col width="9" customWidth="1" min="7" max="7"/>
    <col width="11" customWidth="1" min="8" max="8"/>
    <col width="11" customWidth="1" min="9" max="9"/>
    <col width="8" customWidth="1" min="10" max="10"/>
    <col width="8" customWidth="1" min="11" max="11"/>
    <col width="10" customWidth="1" min="12" max="12"/>
    <col width="10" customWidth="1" min="13" max="13"/>
    <col width="8" customWidth="1" min="14" max="14"/>
    <col width="11" customWidth="1" min="15" max="15"/>
    <col width="12" customWidth="1" min="16" max="16"/>
    <col width="9" customWidth="1" min="17" max="17"/>
    <col width="9" customWidth="1" min="18" max="18"/>
    <col width="9" customWidth="1" min="19" max="19"/>
    <col width="11" customWidth="1" min="20" max="20"/>
    <col width="14" customWidth="1" min="21" max="21"/>
    <col width="10" customWidth="1" min="22" max="22"/>
    <col width="11" customWidth="1" min="23" max="23"/>
    <col width="10" customWidth="1" min="24" max="24"/>
    <col width="10" customWidth="1" min="25" max="25"/>
    <col width="16" customWidth="1" min="26" max="26"/>
    <col width="8" customWidth="1" min="27" max="27"/>
  </cols>
  <sheetData>
    <row r="1" ht="22" customHeight="1">
      <c r="A1" s="13" t="inlineStr">
        <is>
          <t>Sample data: delete it and start. How to clear it is on the How to use sheet.</t>
        </is>
      </c>
    </row>
    <row r="2" ht="44" customHeight="1">
      <c r="A2" s="8" t="inlineStr">
        <is>
          <t>File no.</t>
        </is>
      </c>
      <c r="B2" s="8" t="inlineStr">
        <is>
          <t>Patient</t>
        </is>
      </c>
      <c r="C2" s="8" t="inlineStr">
        <is>
          <t>Orthodontist</t>
        </is>
      </c>
      <c r="D2" s="8" t="inlineStr">
        <is>
          <t>Appliance</t>
        </is>
      </c>
      <c r="E2" s="8" t="inlineStr">
        <is>
          <t>Start date</t>
        </is>
      </c>
      <c r="F2" s="8" t="inlineStr">
        <is>
          <t>Planned months</t>
        </is>
      </c>
      <c r="G2" s="8" t="inlineStr">
        <is>
          <t>Visit every (weeks)</t>
        </is>
      </c>
      <c r="H2" s="8" t="inlineStr">
        <is>
          <t>Last visit</t>
        </is>
      </c>
      <c r="I2" s="8" t="inlineStr">
        <is>
          <t>Next visit booked</t>
        </is>
      </c>
      <c r="J2" s="8" t="inlineStr">
        <is>
          <t>Aligner no.</t>
        </is>
      </c>
      <c r="K2" s="8" t="inlineStr">
        <is>
          <t>Aligners in plan</t>
        </is>
      </c>
      <c r="L2" s="8" t="inlineStr">
        <is>
          <t>Treatment fee</t>
        </is>
      </c>
      <c r="M2" s="8" t="inlineStr">
        <is>
          <t>Down payment</t>
        </is>
      </c>
      <c r="N2" s="8" t="inlineStr">
        <is>
          <t>Instalments</t>
        </is>
      </c>
      <c r="O2" s="8" t="inlineStr">
        <is>
          <t>Paid to date</t>
        </is>
      </c>
      <c r="P2" s="8" t="inlineStr">
        <is>
          <t>Status</t>
        </is>
      </c>
      <c r="Q2" s="8" t="inlineStr">
        <is>
          <t>Months in treatment</t>
        </is>
      </c>
      <c r="R2" s="8" t="inlineStr">
        <is>
          <t>Time used</t>
        </is>
      </c>
      <c r="S2" s="8" t="inlineStr">
        <is>
          <t>Aligner progress</t>
        </is>
      </c>
      <c r="T2" s="8" t="inlineStr">
        <is>
          <t>Next visit due</t>
        </is>
      </c>
      <c r="U2" s="8" t="inlineStr">
        <is>
          <t>Visits</t>
        </is>
      </c>
      <c r="V2" s="8" t="inlineStr">
        <is>
          <t>Monthly instalment</t>
        </is>
      </c>
      <c r="W2" s="8" t="inlineStr">
        <is>
          <t>Due by today</t>
        </is>
      </c>
      <c r="X2" s="8" t="inlineStr">
        <is>
          <t>Balance</t>
        </is>
      </c>
      <c r="Y2" s="8" t="inlineStr">
        <is>
          <t>Arrears</t>
        </is>
      </c>
      <c r="Z2" s="8" t="inlineStr">
        <is>
          <t>Payments</t>
        </is>
      </c>
      <c r="AA2" s="8" t="inlineStr">
        <is>
          <t>Overdue no.</t>
        </is>
      </c>
    </row>
    <row r="3">
      <c r="A3" s="4" t="inlineStr">
        <is>
          <t>D-1228</t>
        </is>
      </c>
      <c r="B3" s="4" t="inlineStr">
        <is>
          <t>Youssef El Banna</t>
        </is>
      </c>
      <c r="C3" s="4" t="inlineStr">
        <is>
          <t>Dr Reem Al Otaibi</t>
        </is>
      </c>
      <c r="D3" s="4" t="inlineStr">
        <is>
          <t>Fixed, metal brackets</t>
        </is>
      </c>
      <c r="E3" s="5" t="n">
        <v>45489</v>
      </c>
      <c r="F3" s="6" t="n">
        <v>23</v>
      </c>
      <c r="G3" s="6" t="n">
        <v>6</v>
      </c>
      <c r="H3" s="5" t="n">
        <v>46290</v>
      </c>
      <c r="I3" s="5" t="n"/>
      <c r="J3" s="6" t="n"/>
      <c r="K3" s="6" t="n"/>
      <c r="L3" s="14" t="n">
        <v>8500</v>
      </c>
      <c r="M3" s="14" t="n">
        <v>2600</v>
      </c>
      <c r="N3" s="6" t="n">
        <v>24</v>
      </c>
      <c r="O3" s="14" t="n">
        <v>8500</v>
      </c>
      <c r="P3" s="4" t="inlineStr">
        <is>
          <t>Finished</t>
        </is>
      </c>
      <c r="Q3" s="15">
        <f>IF($E3="","",ROUND(('Settings'!$B$6-$E3)/30.4375,1))</f>
        <v/>
      </c>
      <c r="R3" s="16">
        <f>IF(OR($E3="",N($F3)=0),"",$Q3/$F3)</f>
        <v/>
      </c>
      <c r="S3" s="16">
        <f>IF(N($K3)=0,"",N($J3)/$K3)</f>
        <v/>
      </c>
      <c r="T3" s="17">
        <f>IF(OR($H3="",$G3=""),"",$H3+$G3*7)</f>
        <v/>
      </c>
      <c r="U3" s="9">
        <f>IF(OR($A3="",NOT(OR($P3="Active",$P3="Retention"))),"",IF(AND($I3&lt;&gt;"",$I3&gt;='Settings'!$B$6),"Booked",IF($T3="","",IF('Settings'!$B$6&gt;$T3+'Settings'!$B$7,"Overdue",IF($T3&lt;='Settings'!$B$6+7,"Due this week","On schedule")))))</f>
        <v/>
      </c>
      <c r="V3" s="15">
        <f>IF(OR($L3="",N($N3)=0),"",($L3-N($M3))/$N3)</f>
        <v/>
      </c>
      <c r="W3" s="15">
        <f>IF(OR($L3="",$E3=""),"",MIN($L3,N($M3)+N($V3)*MIN(N($N3),MAX(0,((YEAR('Settings'!$B$6)-YEAR($E3))*12+MONTH('Settings'!$B$6)-MONTH($E3)-IF(DAY('Settings'!$B$6)&lt;DAY($E3),1,0))))))</f>
        <v/>
      </c>
      <c r="X3" s="15">
        <f>IF($L3="","",$L3-N($O3))</f>
        <v/>
      </c>
      <c r="Y3" s="15">
        <f>IF($W3="","",MAX(0,$W3-N($O3)))</f>
        <v/>
      </c>
      <c r="Z3" s="9">
        <f>IF(OR($A3="",$L3=""),"",IF($X3&lt;=0,"Paid in full",IF($Y3&lt;1,"On track",IF($Y3&lt;=$V3,"1 instalment behind","Behind"))))</f>
        <v/>
      </c>
      <c r="AA3" s="18">
        <f>IF($U3="Overdue",COUNTIF($U$3:$U3,"Overdue"),"")</f>
        <v/>
      </c>
    </row>
    <row r="4">
      <c r="A4" s="4" t="inlineStr">
        <is>
          <t>D-1340</t>
        </is>
      </c>
      <c r="B4" s="4" t="inlineStr">
        <is>
          <t>Khaled Al Zoubi</t>
        </is>
      </c>
      <c r="C4" s="4" t="inlineStr">
        <is>
          <t>Dr Tarek Hamdy</t>
        </is>
      </c>
      <c r="D4" s="4" t="inlineStr">
        <is>
          <t>Fixed, ceramic brackets</t>
        </is>
      </c>
      <c r="E4" s="5" t="n">
        <v>45552</v>
      </c>
      <c r="F4" s="6" t="n">
        <v>20</v>
      </c>
      <c r="G4" s="6" t="n">
        <v>12</v>
      </c>
      <c r="H4" s="5" t="n">
        <v>46244</v>
      </c>
      <c r="I4" s="5" t="n">
        <v>46301</v>
      </c>
      <c r="J4" s="6" t="n"/>
      <c r="K4" s="6" t="n"/>
      <c r="L4" s="14" t="n">
        <v>13000</v>
      </c>
      <c r="M4" s="14" t="n">
        <v>3200</v>
      </c>
      <c r="N4" s="6" t="n">
        <v>18</v>
      </c>
      <c r="O4" s="14" t="n">
        <v>13000</v>
      </c>
      <c r="P4" s="4" t="inlineStr">
        <is>
          <t>Retention</t>
        </is>
      </c>
      <c r="Q4" s="15">
        <f>IF($E4="","",ROUND(('Settings'!$B$6-$E4)/30.4375,1))</f>
        <v/>
      </c>
      <c r="R4" s="16">
        <f>IF(OR($E4="",N($F4)=0),"",$Q4/$F4)</f>
        <v/>
      </c>
      <c r="S4" s="16">
        <f>IF(N($K4)=0,"",N($J4)/$K4)</f>
        <v/>
      </c>
      <c r="T4" s="17">
        <f>IF(OR($H4="",$G4=""),"",$H4+$G4*7)</f>
        <v/>
      </c>
      <c r="U4" s="9">
        <f>IF(OR($A4="",NOT(OR($P4="Active",$P4="Retention"))),"",IF(AND($I4&lt;&gt;"",$I4&gt;='Settings'!$B$6),"Booked",IF($T4="","",IF('Settings'!$B$6&gt;$T4+'Settings'!$B$7,"Overdue",IF($T4&lt;='Settings'!$B$6+7,"Due this week","On schedule")))))</f>
        <v/>
      </c>
      <c r="V4" s="15">
        <f>IF(OR($L4="",N($N4)=0),"",($L4-N($M4))/$N4)</f>
        <v/>
      </c>
      <c r="W4" s="15">
        <f>IF(OR($L4="",$E4=""),"",MIN($L4,N($M4)+N($V4)*MIN(N($N4),MAX(0,((YEAR('Settings'!$B$6)-YEAR($E4))*12+MONTH('Settings'!$B$6)-MONTH($E4)-IF(DAY('Settings'!$B$6)&lt;DAY($E4),1,0))))))</f>
        <v/>
      </c>
      <c r="X4" s="15">
        <f>IF($L4="","",$L4-N($O4))</f>
        <v/>
      </c>
      <c r="Y4" s="15">
        <f>IF($W4="","",MAX(0,$W4-N($O4)))</f>
        <v/>
      </c>
      <c r="Z4" s="9">
        <f>IF(OR($A4="",$L4=""),"",IF($X4&lt;=0,"Paid in full",IF($Y4&lt;1,"On track",IF($Y4&lt;=$V4,"1 instalment behind","Behind"))))</f>
        <v/>
      </c>
      <c r="AA4" s="18">
        <f>IF($U4="Overdue",COUNTIF($U$3:$U4,"Overdue"),"")</f>
        <v/>
      </c>
    </row>
    <row r="5">
      <c r="A5" s="4" t="inlineStr">
        <is>
          <t>D-1396</t>
        </is>
      </c>
      <c r="B5" s="4" t="inlineStr">
        <is>
          <t>Waleed Ashour</t>
        </is>
      </c>
      <c r="C5" s="4" t="inlineStr">
        <is>
          <t>Dr Tarek Hamdy</t>
        </is>
      </c>
      <c r="D5" s="4" t="inlineStr">
        <is>
          <t>Fixed, ceramic brackets</t>
        </is>
      </c>
      <c r="E5" s="5" t="n">
        <v>45641</v>
      </c>
      <c r="F5" s="6" t="n">
        <v>19</v>
      </c>
      <c r="G5" s="6" t="n">
        <v>6</v>
      </c>
      <c r="H5" s="5" t="n">
        <v>46263</v>
      </c>
      <c r="I5" s="5" t="n"/>
      <c r="J5" s="6" t="n"/>
      <c r="K5" s="6" t="n"/>
      <c r="L5" s="14" t="n">
        <v>11500</v>
      </c>
      <c r="M5" s="14" t="n">
        <v>3400</v>
      </c>
      <c r="N5" s="6" t="n">
        <v>18</v>
      </c>
      <c r="O5" s="14" t="n">
        <v>11500</v>
      </c>
      <c r="P5" s="4" t="inlineStr">
        <is>
          <t>Active</t>
        </is>
      </c>
      <c r="Q5" s="15">
        <f>IF($E5="","",ROUND(('Settings'!$B$6-$E5)/30.4375,1))</f>
        <v/>
      </c>
      <c r="R5" s="16">
        <f>IF(OR($E5="",N($F5)=0),"",$Q5/$F5)</f>
        <v/>
      </c>
      <c r="S5" s="16">
        <f>IF(N($K5)=0,"",N($J5)/$K5)</f>
        <v/>
      </c>
      <c r="T5" s="17">
        <f>IF(OR($H5="",$G5=""),"",$H5+$G5*7)</f>
        <v/>
      </c>
      <c r="U5" s="9">
        <f>IF(OR($A5="",NOT(OR($P5="Active",$P5="Retention"))),"",IF(AND($I5&lt;&gt;"",$I5&gt;='Settings'!$B$6),"Booked",IF($T5="","",IF('Settings'!$B$6&gt;$T5+'Settings'!$B$7,"Overdue",IF($T5&lt;='Settings'!$B$6+7,"Due this week","On schedule")))))</f>
        <v/>
      </c>
      <c r="V5" s="15">
        <f>IF(OR($L5="",N($N5)=0),"",($L5-N($M5))/$N5)</f>
        <v/>
      </c>
      <c r="W5" s="15">
        <f>IF(OR($L5="",$E5=""),"",MIN($L5,N($M5)+N($V5)*MIN(N($N5),MAX(0,((YEAR('Settings'!$B$6)-YEAR($E5))*12+MONTH('Settings'!$B$6)-MONTH($E5)-IF(DAY('Settings'!$B$6)&lt;DAY($E5),1,0))))))</f>
        <v/>
      </c>
      <c r="X5" s="15">
        <f>IF($L5="","",$L5-N($O5))</f>
        <v/>
      </c>
      <c r="Y5" s="15">
        <f>IF($W5="","",MAX(0,$W5-N($O5)))</f>
        <v/>
      </c>
      <c r="Z5" s="9">
        <f>IF(OR($A5="",$L5=""),"",IF($X5&lt;=0,"Paid in full",IF($Y5&lt;1,"On track",IF($Y5&lt;=$V5,"1 instalment behind","Behind"))))</f>
        <v/>
      </c>
      <c r="AA5" s="18">
        <f>IF($U5="Overdue",COUNTIF($U$3:$U5,"Overdue"),"")</f>
        <v/>
      </c>
    </row>
    <row r="6">
      <c r="A6" s="4" t="inlineStr">
        <is>
          <t>D-1312</t>
        </is>
      </c>
      <c r="B6" s="4" t="inlineStr">
        <is>
          <t>Sultan Al Rashidi</t>
        </is>
      </c>
      <c r="C6" s="4" t="inlineStr">
        <is>
          <t>Dr Tarek Hamdy</t>
        </is>
      </c>
      <c r="D6" s="4" t="inlineStr">
        <is>
          <t>Fixed, metal brackets</t>
        </is>
      </c>
      <c r="E6" s="5" t="n">
        <v>45724</v>
      </c>
      <c r="F6" s="6" t="n">
        <v>18</v>
      </c>
      <c r="G6" s="6" t="n">
        <v>6</v>
      </c>
      <c r="H6" s="5" t="n">
        <v>46266</v>
      </c>
      <c r="I6" s="5" t="n"/>
      <c r="J6" s="6" t="n"/>
      <c r="K6" s="6" t="n"/>
      <c r="L6" s="14" t="n">
        <v>9000</v>
      </c>
      <c r="M6" s="14" t="n">
        <v>1800</v>
      </c>
      <c r="N6" s="6" t="n">
        <v>18</v>
      </c>
      <c r="O6" s="14" t="n">
        <v>9000</v>
      </c>
      <c r="P6" s="4" t="inlineStr">
        <is>
          <t>Finished</t>
        </is>
      </c>
      <c r="Q6" s="15">
        <f>IF($E6="","",ROUND(('Settings'!$B$6-$E6)/30.4375,1))</f>
        <v/>
      </c>
      <c r="R6" s="16">
        <f>IF(OR($E6="",N($F6)=0),"",$Q6/$F6)</f>
        <v/>
      </c>
      <c r="S6" s="16">
        <f>IF(N($K6)=0,"",N($J6)/$K6)</f>
        <v/>
      </c>
      <c r="T6" s="17">
        <f>IF(OR($H6="",$G6=""),"",$H6+$G6*7)</f>
        <v/>
      </c>
      <c r="U6" s="9">
        <f>IF(OR($A6="",NOT(OR($P6="Active",$P6="Retention"))),"",IF(AND($I6&lt;&gt;"",$I6&gt;='Settings'!$B$6),"Booked",IF($T6="","",IF('Settings'!$B$6&gt;$T6+'Settings'!$B$7,"Overdue",IF($T6&lt;='Settings'!$B$6+7,"Due this week","On schedule")))))</f>
        <v/>
      </c>
      <c r="V6" s="15">
        <f>IF(OR($L6="",N($N6)=0),"",($L6-N($M6))/$N6)</f>
        <v/>
      </c>
      <c r="W6" s="15">
        <f>IF(OR($L6="",$E6=""),"",MIN($L6,N($M6)+N($V6)*MIN(N($N6),MAX(0,((YEAR('Settings'!$B$6)-YEAR($E6))*12+MONTH('Settings'!$B$6)-MONTH($E6)-IF(DAY('Settings'!$B$6)&lt;DAY($E6),1,0))))))</f>
        <v/>
      </c>
      <c r="X6" s="15">
        <f>IF($L6="","",$L6-N($O6))</f>
        <v/>
      </c>
      <c r="Y6" s="15">
        <f>IF($W6="","",MAX(0,$W6-N($O6)))</f>
        <v/>
      </c>
      <c r="Z6" s="9">
        <f>IF(OR($A6="",$L6=""),"",IF($X6&lt;=0,"Paid in full",IF($Y6&lt;1,"On track",IF($Y6&lt;=$V6,"1 instalment behind","Behind"))))</f>
        <v/>
      </c>
      <c r="AA6" s="18">
        <f>IF($U6="Overdue",COUNTIF($U$3:$U6,"Overdue"),"")</f>
        <v/>
      </c>
    </row>
    <row r="7">
      <c r="A7" s="4" t="inlineStr">
        <is>
          <t>D-1284</t>
        </is>
      </c>
      <c r="B7" s="4" t="inlineStr">
        <is>
          <t>Mostafa Rashad</t>
        </is>
      </c>
      <c r="C7" s="4" t="inlineStr">
        <is>
          <t>Dr Reem Al Otaibi</t>
        </is>
      </c>
      <c r="D7" s="4" t="inlineStr">
        <is>
          <t>Fixed, ceramic brackets</t>
        </is>
      </c>
      <c r="E7" s="5" t="n">
        <v>45787</v>
      </c>
      <c r="F7" s="6" t="n">
        <v>21</v>
      </c>
      <c r="G7" s="6" t="n">
        <v>6</v>
      </c>
      <c r="H7" s="5" t="n">
        <v>46281</v>
      </c>
      <c r="I7" s="5" t="n">
        <v>46297</v>
      </c>
      <c r="J7" s="6" t="n"/>
      <c r="K7" s="6" t="n"/>
      <c r="L7" s="14" t="n">
        <v>13000</v>
      </c>
      <c r="M7" s="14" t="n">
        <v>3900</v>
      </c>
      <c r="N7" s="6" t="n">
        <v>18</v>
      </c>
      <c r="O7" s="14" t="n">
        <v>11750</v>
      </c>
      <c r="P7" s="4" t="inlineStr">
        <is>
          <t>Active</t>
        </is>
      </c>
      <c r="Q7" s="15">
        <f>IF($E7="","",ROUND(('Settings'!$B$6-$E7)/30.4375,1))</f>
        <v/>
      </c>
      <c r="R7" s="16">
        <f>IF(OR($E7="",N($F7)=0),"",$Q7/$F7)</f>
        <v/>
      </c>
      <c r="S7" s="16">
        <f>IF(N($K7)=0,"",N($J7)/$K7)</f>
        <v/>
      </c>
      <c r="T7" s="17">
        <f>IF(OR($H7="",$G7=""),"",$H7+$G7*7)</f>
        <v/>
      </c>
      <c r="U7" s="9">
        <f>IF(OR($A7="",NOT(OR($P7="Active",$P7="Retention"))),"",IF(AND($I7&lt;&gt;"",$I7&gt;='Settings'!$B$6),"Booked",IF($T7="","",IF('Settings'!$B$6&gt;$T7+'Settings'!$B$7,"Overdue",IF($T7&lt;='Settings'!$B$6+7,"Due this week","On schedule")))))</f>
        <v/>
      </c>
      <c r="V7" s="15">
        <f>IF(OR($L7="",N($N7)=0),"",($L7-N($M7))/$N7)</f>
        <v/>
      </c>
      <c r="W7" s="15">
        <f>IF(OR($L7="",$E7=""),"",MIN($L7,N($M7)+N($V7)*MIN(N($N7),MAX(0,((YEAR('Settings'!$B$6)-YEAR($E7))*12+MONTH('Settings'!$B$6)-MONTH($E7)-IF(DAY('Settings'!$B$6)&lt;DAY($E7),1,0))))))</f>
        <v/>
      </c>
      <c r="X7" s="15">
        <f>IF($L7="","",$L7-N($O7))</f>
        <v/>
      </c>
      <c r="Y7" s="15">
        <f>IF($W7="","",MAX(0,$W7-N($O7)))</f>
        <v/>
      </c>
      <c r="Z7" s="9">
        <f>IF(OR($A7="",$L7=""),"",IF($X7&lt;=0,"Paid in full",IF($Y7&lt;1,"On track",IF($Y7&lt;=$V7,"1 instalment behind","Behind"))))</f>
        <v/>
      </c>
      <c r="AA7" s="18">
        <f>IF($U7="Overdue",COUNTIF($U$3:$U7,"Overdue"),"")</f>
        <v/>
      </c>
    </row>
    <row r="8">
      <c r="A8" s="4" t="inlineStr">
        <is>
          <t>D-1403</t>
        </is>
      </c>
      <c r="B8" s="4" t="inlineStr">
        <is>
          <t>Lama Al Shahrani</t>
        </is>
      </c>
      <c r="C8" s="4" t="inlineStr">
        <is>
          <t>Dr Tarek Hamdy</t>
        </is>
      </c>
      <c r="D8" s="4" t="inlineStr">
        <is>
          <t>Fixed, metal brackets</t>
        </is>
      </c>
      <c r="E8" s="5" t="n">
        <v>45799</v>
      </c>
      <c r="F8" s="6" t="n">
        <v>20</v>
      </c>
      <c r="G8" s="6" t="n">
        <v>6</v>
      </c>
      <c r="H8" s="5" t="n">
        <v>46269</v>
      </c>
      <c r="I8" s="5" t="n">
        <v>46296</v>
      </c>
      <c r="J8" s="6" t="n"/>
      <c r="K8" s="6" t="n"/>
      <c r="L8" s="14" t="n">
        <v>9000</v>
      </c>
      <c r="M8" s="14" t="n">
        <v>2200</v>
      </c>
      <c r="N8" s="6" t="n">
        <v>12</v>
      </c>
      <c r="O8" s="14" t="n">
        <v>9000</v>
      </c>
      <c r="P8" s="4" t="inlineStr">
        <is>
          <t>Active</t>
        </is>
      </c>
      <c r="Q8" s="15">
        <f>IF($E8="","",ROUND(('Settings'!$B$6-$E8)/30.4375,1))</f>
        <v/>
      </c>
      <c r="R8" s="16">
        <f>IF(OR($E8="",N($F8)=0),"",$Q8/$F8)</f>
        <v/>
      </c>
      <c r="S8" s="16">
        <f>IF(N($K8)=0,"",N($J8)/$K8)</f>
        <v/>
      </c>
      <c r="T8" s="17">
        <f>IF(OR($H8="",$G8=""),"",$H8+$G8*7)</f>
        <v/>
      </c>
      <c r="U8" s="9">
        <f>IF(OR($A8="",NOT(OR($P8="Active",$P8="Retention"))),"",IF(AND($I8&lt;&gt;"",$I8&gt;='Settings'!$B$6),"Booked",IF($T8="","",IF('Settings'!$B$6&gt;$T8+'Settings'!$B$7,"Overdue",IF($T8&lt;='Settings'!$B$6+7,"Due this week","On schedule")))))</f>
        <v/>
      </c>
      <c r="V8" s="15">
        <f>IF(OR($L8="",N($N8)=0),"",($L8-N($M8))/$N8)</f>
        <v/>
      </c>
      <c r="W8" s="15">
        <f>IF(OR($L8="",$E8=""),"",MIN($L8,N($M8)+N($V8)*MIN(N($N8),MAX(0,((YEAR('Settings'!$B$6)-YEAR($E8))*12+MONTH('Settings'!$B$6)-MONTH($E8)-IF(DAY('Settings'!$B$6)&lt;DAY($E8),1,0))))))</f>
        <v/>
      </c>
      <c r="X8" s="15">
        <f>IF($L8="","",$L8-N($O8))</f>
        <v/>
      </c>
      <c r="Y8" s="15">
        <f>IF($W8="","",MAX(0,$W8-N($O8)))</f>
        <v/>
      </c>
      <c r="Z8" s="9">
        <f>IF(OR($A8="",$L8=""),"",IF($X8&lt;=0,"Paid in full",IF($Y8&lt;1,"On track",IF($Y8&lt;=$V8,"1 instalment behind","Behind"))))</f>
        <v/>
      </c>
      <c r="AA8" s="18">
        <f>IF($U8="Overdue",COUNTIF($U$3:$U8,"Overdue"),"")</f>
        <v/>
      </c>
    </row>
    <row r="9">
      <c r="A9" s="4" t="inlineStr">
        <is>
          <t>D-1375</t>
        </is>
      </c>
      <c r="B9" s="4" t="inlineStr">
        <is>
          <t>Shahad Al Ghamdi</t>
        </is>
      </c>
      <c r="C9" s="4" t="inlineStr">
        <is>
          <t>Dr Tarek Hamdy</t>
        </is>
      </c>
      <c r="D9" s="4" t="inlineStr">
        <is>
          <t>Fixed, metal brackets</t>
        </is>
      </c>
      <c r="E9" s="5" t="n">
        <v>45816</v>
      </c>
      <c r="F9" s="6" t="n">
        <v>22</v>
      </c>
      <c r="G9" s="6" t="n">
        <v>6</v>
      </c>
      <c r="H9" s="5" t="n">
        <v>46272</v>
      </c>
      <c r="I9" s="5" t="n"/>
      <c r="J9" s="6" t="n"/>
      <c r="K9" s="6" t="n"/>
      <c r="L9" s="14" t="n">
        <v>10000</v>
      </c>
      <c r="M9" s="14" t="n">
        <v>2500</v>
      </c>
      <c r="N9" s="6" t="n">
        <v>24</v>
      </c>
      <c r="O9" s="14" t="n">
        <v>7200</v>
      </c>
      <c r="P9" s="4" t="inlineStr">
        <is>
          <t>Active</t>
        </is>
      </c>
      <c r="Q9" s="15">
        <f>IF($E9="","",ROUND(('Settings'!$B$6-$E9)/30.4375,1))</f>
        <v/>
      </c>
      <c r="R9" s="16">
        <f>IF(OR($E9="",N($F9)=0),"",$Q9/$F9)</f>
        <v/>
      </c>
      <c r="S9" s="16">
        <f>IF(N($K9)=0,"",N($J9)/$K9)</f>
        <v/>
      </c>
      <c r="T9" s="17">
        <f>IF(OR($H9="",$G9=""),"",$H9+$G9*7)</f>
        <v/>
      </c>
      <c r="U9" s="9">
        <f>IF(OR($A9="",NOT(OR($P9="Active",$P9="Retention"))),"",IF(AND($I9&lt;&gt;"",$I9&gt;='Settings'!$B$6),"Booked",IF($T9="","",IF('Settings'!$B$6&gt;$T9+'Settings'!$B$7,"Overdue",IF($T9&lt;='Settings'!$B$6+7,"Due this week","On schedule")))))</f>
        <v/>
      </c>
      <c r="V9" s="15">
        <f>IF(OR($L9="",N($N9)=0),"",($L9-N($M9))/$N9)</f>
        <v/>
      </c>
      <c r="W9" s="15">
        <f>IF(OR($L9="",$E9=""),"",MIN($L9,N($M9)+N($V9)*MIN(N($N9),MAX(0,((YEAR('Settings'!$B$6)-YEAR($E9))*12+MONTH('Settings'!$B$6)-MONTH($E9)-IF(DAY('Settings'!$B$6)&lt;DAY($E9),1,0))))))</f>
        <v/>
      </c>
      <c r="X9" s="15">
        <f>IF($L9="","",$L9-N($O9))</f>
        <v/>
      </c>
      <c r="Y9" s="15">
        <f>IF($W9="","",MAX(0,$W9-N($O9)))</f>
        <v/>
      </c>
      <c r="Z9" s="9">
        <f>IF(OR($A9="",$L9=""),"",IF($X9&lt;=0,"Paid in full",IF($Y9&lt;1,"On track",IF($Y9&lt;=$V9,"1 instalment behind","Behind"))))</f>
        <v/>
      </c>
      <c r="AA9" s="18">
        <f>IF($U9="Overdue",COUNTIF($U$3:$U9,"Overdue"),"")</f>
        <v/>
      </c>
    </row>
    <row r="10">
      <c r="A10" s="4" t="inlineStr">
        <is>
          <t>D-1354</t>
        </is>
      </c>
      <c r="B10" s="4" t="inlineStr">
        <is>
          <t>Fahad Al Baqami</t>
        </is>
      </c>
      <c r="C10" s="4" t="inlineStr">
        <is>
          <t>Dr Tarek Hamdy</t>
        </is>
      </c>
      <c r="D10" s="4" t="inlineStr">
        <is>
          <t>Fixed, ceramic brackets</t>
        </is>
      </c>
      <c r="E10" s="5" t="n">
        <v>45832</v>
      </c>
      <c r="F10" s="6" t="n">
        <v>20</v>
      </c>
      <c r="G10" s="6" t="n">
        <v>6</v>
      </c>
      <c r="H10" s="5" t="n">
        <v>46286</v>
      </c>
      <c r="I10" s="5" t="n">
        <v>46299</v>
      </c>
      <c r="J10" s="6" t="n"/>
      <c r="K10" s="6" t="n"/>
      <c r="L10" s="14" t="n">
        <v>12500</v>
      </c>
      <c r="M10" s="14" t="n">
        <v>2500</v>
      </c>
      <c r="N10" s="6" t="n">
        <v>24</v>
      </c>
      <c r="O10" s="14" t="n">
        <v>8750</v>
      </c>
      <c r="P10" s="4" t="inlineStr">
        <is>
          <t>Active</t>
        </is>
      </c>
      <c r="Q10" s="15">
        <f>IF($E10="","",ROUND(('Settings'!$B$6-$E10)/30.4375,1))</f>
        <v/>
      </c>
      <c r="R10" s="16">
        <f>IF(OR($E10="",N($F10)=0),"",$Q10/$F10)</f>
        <v/>
      </c>
      <c r="S10" s="16">
        <f>IF(N($K10)=0,"",N($J10)/$K10)</f>
        <v/>
      </c>
      <c r="T10" s="17">
        <f>IF(OR($H10="",$G10=""),"",$H10+$G10*7)</f>
        <v/>
      </c>
      <c r="U10" s="9">
        <f>IF(OR($A10="",NOT(OR($P10="Active",$P10="Retention"))),"",IF(AND($I10&lt;&gt;"",$I10&gt;='Settings'!$B$6),"Booked",IF($T10="","",IF('Settings'!$B$6&gt;$T10+'Settings'!$B$7,"Overdue",IF($T10&lt;='Settings'!$B$6+7,"Due this week","On schedule")))))</f>
        <v/>
      </c>
      <c r="V10" s="15">
        <f>IF(OR($L10="",N($N10)=0),"",($L10-N($M10))/$N10)</f>
        <v/>
      </c>
      <c r="W10" s="15">
        <f>IF(OR($L10="",$E10=""),"",MIN($L10,N($M10)+N($V10)*MIN(N($N10),MAX(0,((YEAR('Settings'!$B$6)-YEAR($E10))*12+MONTH('Settings'!$B$6)-MONTH($E10)-IF(DAY('Settings'!$B$6)&lt;DAY($E10),1,0))))))</f>
        <v/>
      </c>
      <c r="X10" s="15">
        <f>IF($L10="","",$L10-N($O10))</f>
        <v/>
      </c>
      <c r="Y10" s="15">
        <f>IF($W10="","",MAX(0,$W10-N($O10)))</f>
        <v/>
      </c>
      <c r="Z10" s="9">
        <f>IF(OR($A10="",$L10=""),"",IF($X10&lt;=0,"Paid in full",IF($Y10&lt;1,"On track",IF($Y10&lt;=$V10,"1 instalment behind","Behind"))))</f>
        <v/>
      </c>
      <c r="AA10" s="18">
        <f>IF($U10="Overdue",COUNTIF($U$3:$U10,"Overdue"),"")</f>
        <v/>
      </c>
    </row>
    <row r="11">
      <c r="A11" s="4" t="inlineStr">
        <is>
          <t>D-1319</t>
        </is>
      </c>
      <c r="B11" s="4" t="inlineStr">
        <is>
          <t>Heba Ezzat</t>
        </is>
      </c>
      <c r="C11" s="4" t="inlineStr">
        <is>
          <t>Dr Tarek Hamdy</t>
        </is>
      </c>
      <c r="D11" s="4" t="inlineStr">
        <is>
          <t>Fixed, ceramic brackets</t>
        </is>
      </c>
      <c r="E11" s="5" t="n">
        <v>45838</v>
      </c>
      <c r="F11" s="6" t="n">
        <v>21</v>
      </c>
      <c r="G11" s="6" t="n">
        <v>6</v>
      </c>
      <c r="H11" s="5" t="n">
        <v>46268</v>
      </c>
      <c r="I11" s="5" t="n">
        <v>46294</v>
      </c>
      <c r="J11" s="6" t="n"/>
      <c r="K11" s="6" t="n"/>
      <c r="L11" s="14" t="n">
        <v>12500</v>
      </c>
      <c r="M11" s="14" t="n">
        <v>3800</v>
      </c>
      <c r="N11" s="6" t="n">
        <v>18</v>
      </c>
      <c r="O11" s="14" t="n">
        <v>10600</v>
      </c>
      <c r="P11" s="4" t="inlineStr">
        <is>
          <t>Active</t>
        </is>
      </c>
      <c r="Q11" s="15">
        <f>IF($E11="","",ROUND(('Settings'!$B$6-$E11)/30.4375,1))</f>
        <v/>
      </c>
      <c r="R11" s="16">
        <f>IF(OR($E11="",N($F11)=0),"",$Q11/$F11)</f>
        <v/>
      </c>
      <c r="S11" s="16">
        <f>IF(N($K11)=0,"",N($J11)/$K11)</f>
        <v/>
      </c>
      <c r="T11" s="17">
        <f>IF(OR($H11="",$G11=""),"",$H11+$G11*7)</f>
        <v/>
      </c>
      <c r="U11" s="9">
        <f>IF(OR($A11="",NOT(OR($P11="Active",$P11="Retention"))),"",IF(AND($I11&lt;&gt;"",$I11&gt;='Settings'!$B$6),"Booked",IF($T11="","",IF('Settings'!$B$6&gt;$T11+'Settings'!$B$7,"Overdue",IF($T11&lt;='Settings'!$B$6+7,"Due this week","On schedule")))))</f>
        <v/>
      </c>
      <c r="V11" s="15">
        <f>IF(OR($L11="",N($N11)=0),"",($L11-N($M11))/$N11)</f>
        <v/>
      </c>
      <c r="W11" s="15">
        <f>IF(OR($L11="",$E11=""),"",MIN($L11,N($M11)+N($V11)*MIN(N($N11),MAX(0,((YEAR('Settings'!$B$6)-YEAR($E11))*12+MONTH('Settings'!$B$6)-MONTH($E11)-IF(DAY('Settings'!$B$6)&lt;DAY($E11),1,0))))))</f>
        <v/>
      </c>
      <c r="X11" s="15">
        <f>IF($L11="","",$L11-N($O11))</f>
        <v/>
      </c>
      <c r="Y11" s="15">
        <f>IF($W11="","",MAX(0,$W11-N($O11)))</f>
        <v/>
      </c>
      <c r="Z11" s="9">
        <f>IF(OR($A11="",$L11=""),"",IF($X11&lt;=0,"Paid in full",IF($Y11&lt;1,"On track",IF($Y11&lt;=$V11,"1 instalment behind","Behind"))))</f>
        <v/>
      </c>
      <c r="AA11" s="18">
        <f>IF($U11="Overdue",COUNTIF($U$3:$U11,"Overdue"),"")</f>
        <v/>
      </c>
    </row>
    <row r="12">
      <c r="A12" s="4" t="inlineStr">
        <is>
          <t>D-1256</t>
        </is>
      </c>
      <c r="B12" s="4" t="inlineStr">
        <is>
          <t>Amr Shawky</t>
        </is>
      </c>
      <c r="C12" s="4" t="inlineStr">
        <is>
          <t>Dr Reem Al Otaibi</t>
        </is>
      </c>
      <c r="D12" s="4" t="inlineStr">
        <is>
          <t>Clear aligners</t>
        </is>
      </c>
      <c r="E12" s="5" t="n">
        <v>45841</v>
      </c>
      <c r="F12" s="6" t="n">
        <v>12</v>
      </c>
      <c r="G12" s="6" t="n">
        <v>12</v>
      </c>
      <c r="H12" s="5" t="n">
        <v>46267</v>
      </c>
      <c r="I12" s="5" t="n"/>
      <c r="J12" s="6" t="n">
        <v>32</v>
      </c>
      <c r="K12" s="6" t="n">
        <v>32</v>
      </c>
      <c r="L12" s="14" t="n">
        <v>15500</v>
      </c>
      <c r="M12" s="14" t="n">
        <v>4600</v>
      </c>
      <c r="N12" s="6" t="n">
        <v>18</v>
      </c>
      <c r="O12" s="14" t="n">
        <v>13100</v>
      </c>
      <c r="P12" s="4" t="inlineStr">
        <is>
          <t>Retention</t>
        </is>
      </c>
      <c r="Q12" s="15">
        <f>IF($E12="","",ROUND(('Settings'!$B$6-$E12)/30.4375,1))</f>
        <v/>
      </c>
      <c r="R12" s="16">
        <f>IF(OR($E12="",N($F12)=0),"",$Q12/$F12)</f>
        <v/>
      </c>
      <c r="S12" s="16">
        <f>IF(N($K12)=0,"",N($J12)/$K12)</f>
        <v/>
      </c>
      <c r="T12" s="17">
        <f>IF(OR($H12="",$G12=""),"",$H12+$G12*7)</f>
        <v/>
      </c>
      <c r="U12" s="9">
        <f>IF(OR($A12="",NOT(OR($P12="Active",$P12="Retention"))),"",IF(AND($I12&lt;&gt;"",$I12&gt;='Settings'!$B$6),"Booked",IF($T12="","",IF('Settings'!$B$6&gt;$T12+'Settings'!$B$7,"Overdue",IF($T12&lt;='Settings'!$B$6+7,"Due this week","On schedule")))))</f>
        <v/>
      </c>
      <c r="V12" s="15">
        <f>IF(OR($L12="",N($N12)=0),"",($L12-N($M12))/$N12)</f>
        <v/>
      </c>
      <c r="W12" s="15">
        <f>IF(OR($L12="",$E12=""),"",MIN($L12,N($M12)+N($V12)*MIN(N($N12),MAX(0,((YEAR('Settings'!$B$6)-YEAR($E12))*12+MONTH('Settings'!$B$6)-MONTH($E12)-IF(DAY('Settings'!$B$6)&lt;DAY($E12),1,0))))))</f>
        <v/>
      </c>
      <c r="X12" s="15">
        <f>IF($L12="","",$L12-N($O12))</f>
        <v/>
      </c>
      <c r="Y12" s="15">
        <f>IF($W12="","",MAX(0,$W12-N($O12)))</f>
        <v/>
      </c>
      <c r="Z12" s="9">
        <f>IF(OR($A12="",$L12=""),"",IF($X12&lt;=0,"Paid in full",IF($Y12&lt;1,"On track",IF($Y12&lt;=$V12,"1 instalment behind","Behind"))))</f>
        <v/>
      </c>
      <c r="AA12" s="18">
        <f>IF($U12="Overdue",COUNTIF($U$3:$U12,"Overdue"),"")</f>
        <v/>
      </c>
    </row>
    <row r="13">
      <c r="A13" s="4" t="inlineStr">
        <is>
          <t>D-1382</t>
        </is>
      </c>
      <c r="B13" s="4" t="inlineStr">
        <is>
          <t>Mishal Al Hajri</t>
        </is>
      </c>
      <c r="C13" s="4" t="inlineStr">
        <is>
          <t>Dr Tarek Hamdy</t>
        </is>
      </c>
      <c r="D13" s="4" t="inlineStr">
        <is>
          <t>Clear aligners</t>
        </is>
      </c>
      <c r="E13" s="5" t="n">
        <v>45843</v>
      </c>
      <c r="F13" s="6" t="n">
        <v>12</v>
      </c>
      <c r="G13" s="6" t="n">
        <v>12</v>
      </c>
      <c r="H13" s="5" t="n">
        <v>46252</v>
      </c>
      <c r="I13" s="5" t="n">
        <v>46304</v>
      </c>
      <c r="J13" s="6" t="n">
        <v>25</v>
      </c>
      <c r="K13" s="6" t="n">
        <v>26</v>
      </c>
      <c r="L13" s="14" t="n">
        <v>16000</v>
      </c>
      <c r="M13" s="14" t="n">
        <v>4800</v>
      </c>
      <c r="N13" s="6" t="n">
        <v>18</v>
      </c>
      <c r="O13" s="14" t="n">
        <v>13100</v>
      </c>
      <c r="P13" s="4" t="inlineStr">
        <is>
          <t>Retention</t>
        </is>
      </c>
      <c r="Q13" s="15">
        <f>IF($E13="","",ROUND(('Settings'!$B$6-$E13)/30.4375,1))</f>
        <v/>
      </c>
      <c r="R13" s="16">
        <f>IF(OR($E13="",N($F13)=0),"",$Q13/$F13)</f>
        <v/>
      </c>
      <c r="S13" s="16">
        <f>IF(N($K13)=0,"",N($J13)/$K13)</f>
        <v/>
      </c>
      <c r="T13" s="17">
        <f>IF(OR($H13="",$G13=""),"",$H13+$G13*7)</f>
        <v/>
      </c>
      <c r="U13" s="9">
        <f>IF(OR($A13="",NOT(OR($P13="Active",$P13="Retention"))),"",IF(AND($I13&lt;&gt;"",$I13&gt;='Settings'!$B$6),"Booked",IF($T13="","",IF('Settings'!$B$6&gt;$T13+'Settings'!$B$7,"Overdue",IF($T13&lt;='Settings'!$B$6+7,"Due this week","On schedule")))))</f>
        <v/>
      </c>
      <c r="V13" s="15">
        <f>IF(OR($L13="",N($N13)=0),"",($L13-N($M13))/$N13)</f>
        <v/>
      </c>
      <c r="W13" s="15">
        <f>IF(OR($L13="",$E13=""),"",MIN($L13,N($M13)+N($V13)*MIN(N($N13),MAX(0,((YEAR('Settings'!$B$6)-YEAR($E13))*12+MONTH('Settings'!$B$6)-MONTH($E13)-IF(DAY('Settings'!$B$6)&lt;DAY($E13),1,0))))))</f>
        <v/>
      </c>
      <c r="X13" s="15">
        <f>IF($L13="","",$L13-N($O13))</f>
        <v/>
      </c>
      <c r="Y13" s="15">
        <f>IF($W13="","",MAX(0,$W13-N($O13)))</f>
        <v/>
      </c>
      <c r="Z13" s="9">
        <f>IF(OR($A13="",$L13=""),"",IF($X13&lt;=0,"Paid in full",IF($Y13&lt;1,"On track",IF($Y13&lt;=$V13,"1 instalment behind","Behind"))))</f>
        <v/>
      </c>
      <c r="AA13" s="18">
        <f>IF($U13="Overdue",COUNTIF($U$3:$U13,"Overdue"),"")</f>
        <v/>
      </c>
    </row>
    <row r="14">
      <c r="A14" s="4" t="inlineStr">
        <is>
          <t>D-1270</t>
        </is>
      </c>
      <c r="B14" s="4" t="inlineStr">
        <is>
          <t>Bandar Al Anazi</t>
        </is>
      </c>
      <c r="C14" s="4" t="inlineStr">
        <is>
          <t>Dr Tarek Hamdy</t>
        </is>
      </c>
      <c r="D14" s="4" t="inlineStr">
        <is>
          <t>Fixed, ceramic brackets</t>
        </is>
      </c>
      <c r="E14" s="5" t="n">
        <v>45858</v>
      </c>
      <c r="F14" s="6" t="n">
        <v>18</v>
      </c>
      <c r="G14" s="6" t="n">
        <v>6</v>
      </c>
      <c r="H14" s="5" t="n">
        <v>46202</v>
      </c>
      <c r="I14" s="5" t="n"/>
      <c r="J14" s="6" t="n"/>
      <c r="K14" s="6" t="n"/>
      <c r="L14" s="14" t="n">
        <v>13000</v>
      </c>
      <c r="M14" s="14" t="n">
        <v>3200</v>
      </c>
      <c r="N14" s="6" t="n">
        <v>24</v>
      </c>
      <c r="O14" s="14" t="n">
        <v>8950</v>
      </c>
      <c r="P14" s="4" t="inlineStr">
        <is>
          <t>Active</t>
        </is>
      </c>
      <c r="Q14" s="15">
        <f>IF($E14="","",ROUND(('Settings'!$B$6-$E14)/30.4375,1))</f>
        <v/>
      </c>
      <c r="R14" s="16">
        <f>IF(OR($E14="",N($F14)=0),"",$Q14/$F14)</f>
        <v/>
      </c>
      <c r="S14" s="16">
        <f>IF(N($K14)=0,"",N($J14)/$K14)</f>
        <v/>
      </c>
      <c r="T14" s="17">
        <f>IF(OR($H14="",$G14=""),"",$H14+$G14*7)</f>
        <v/>
      </c>
      <c r="U14" s="9">
        <f>IF(OR($A14="",NOT(OR($P14="Active",$P14="Retention"))),"",IF(AND($I14&lt;&gt;"",$I14&gt;='Settings'!$B$6),"Booked",IF($T14="","",IF('Settings'!$B$6&gt;$T14+'Settings'!$B$7,"Overdue",IF($T14&lt;='Settings'!$B$6+7,"Due this week","On schedule")))))</f>
        <v/>
      </c>
      <c r="V14" s="15">
        <f>IF(OR($L14="",N($N14)=0),"",($L14-N($M14))/$N14)</f>
        <v/>
      </c>
      <c r="W14" s="15">
        <f>IF(OR($L14="",$E14=""),"",MIN($L14,N($M14)+N($V14)*MIN(N($N14),MAX(0,((YEAR('Settings'!$B$6)-YEAR($E14))*12+MONTH('Settings'!$B$6)-MONTH($E14)-IF(DAY('Settings'!$B$6)&lt;DAY($E14),1,0))))))</f>
        <v/>
      </c>
      <c r="X14" s="15">
        <f>IF($L14="","",$L14-N($O14))</f>
        <v/>
      </c>
      <c r="Y14" s="15">
        <f>IF($W14="","",MAX(0,$W14-N($O14)))</f>
        <v/>
      </c>
      <c r="Z14" s="9">
        <f>IF(OR($A14="",$L14=""),"",IF($X14&lt;=0,"Paid in full",IF($Y14&lt;1,"On track",IF($Y14&lt;=$V14,"1 instalment behind","Behind"))))</f>
        <v/>
      </c>
      <c r="AA14" s="18">
        <f>IF($U14="Overdue",COUNTIF($U$3:$U14,"Overdue"),"")</f>
        <v/>
      </c>
    </row>
    <row r="15">
      <c r="A15" s="4" t="inlineStr">
        <is>
          <t>D-1249</t>
        </is>
      </c>
      <c r="B15" s="4" t="inlineStr">
        <is>
          <t>Dana Al Harbi</t>
        </is>
      </c>
      <c r="C15" s="4" t="inlineStr">
        <is>
          <t>Dr Reem Al Otaibi</t>
        </is>
      </c>
      <c r="D15" s="4" t="inlineStr">
        <is>
          <t>Fixed, metal brackets</t>
        </is>
      </c>
      <c r="E15" s="5" t="n">
        <v>45862</v>
      </c>
      <c r="F15" s="6" t="n">
        <v>20</v>
      </c>
      <c r="G15" s="6" t="n">
        <v>6</v>
      </c>
      <c r="H15" s="5" t="n">
        <v>46195</v>
      </c>
      <c r="I15" s="5" t="n"/>
      <c r="J15" s="6" t="n"/>
      <c r="K15" s="6" t="n"/>
      <c r="L15" s="14" t="n">
        <v>9000</v>
      </c>
      <c r="M15" s="14" t="n">
        <v>2200</v>
      </c>
      <c r="N15" s="6" t="n">
        <v>24</v>
      </c>
      <c r="O15" s="14" t="n">
        <v>5600</v>
      </c>
      <c r="P15" s="4" t="inlineStr">
        <is>
          <t>Active</t>
        </is>
      </c>
      <c r="Q15" s="15">
        <f>IF($E15="","",ROUND(('Settings'!$B$6-$E15)/30.4375,1))</f>
        <v/>
      </c>
      <c r="R15" s="16">
        <f>IF(OR($E15="",N($F15)=0),"",$Q15/$F15)</f>
        <v/>
      </c>
      <c r="S15" s="16">
        <f>IF(N($K15)=0,"",N($J15)/$K15)</f>
        <v/>
      </c>
      <c r="T15" s="17">
        <f>IF(OR($H15="",$G15=""),"",$H15+$G15*7)</f>
        <v/>
      </c>
      <c r="U15" s="9">
        <f>IF(OR($A15="",NOT(OR($P15="Active",$P15="Retention"))),"",IF(AND($I15&lt;&gt;"",$I15&gt;='Settings'!$B$6),"Booked",IF($T15="","",IF('Settings'!$B$6&gt;$T15+'Settings'!$B$7,"Overdue",IF($T15&lt;='Settings'!$B$6+7,"Due this week","On schedule")))))</f>
        <v/>
      </c>
      <c r="V15" s="15">
        <f>IF(OR($L15="",N($N15)=0),"",($L15-N($M15))/$N15)</f>
        <v/>
      </c>
      <c r="W15" s="15">
        <f>IF(OR($L15="",$E15=""),"",MIN($L15,N($M15)+N($V15)*MIN(N($N15),MAX(0,((YEAR('Settings'!$B$6)-YEAR($E15))*12+MONTH('Settings'!$B$6)-MONTH($E15)-IF(DAY('Settings'!$B$6)&lt;DAY($E15),1,0))))))</f>
        <v/>
      </c>
      <c r="X15" s="15">
        <f>IF($L15="","",$L15-N($O15))</f>
        <v/>
      </c>
      <c r="Y15" s="15">
        <f>IF($W15="","",MAX(0,$W15-N($O15)))</f>
        <v/>
      </c>
      <c r="Z15" s="9">
        <f>IF(OR($A15="",$L15=""),"",IF($X15&lt;=0,"Paid in full",IF($Y15&lt;1,"On track",IF($Y15&lt;=$V15,"1 instalment behind","Behind"))))</f>
        <v/>
      </c>
      <c r="AA15" s="18">
        <f>IF($U15="Overdue",COUNTIF($U$3:$U15,"Overdue"),"")</f>
        <v/>
      </c>
    </row>
    <row r="16">
      <c r="A16" s="4" t="inlineStr">
        <is>
          <t>D-1235</t>
        </is>
      </c>
      <c r="B16" s="4" t="inlineStr">
        <is>
          <t>Munira Al Sahli</t>
        </is>
      </c>
      <c r="C16" s="4" t="inlineStr">
        <is>
          <t>Dr Tarek Hamdy</t>
        </is>
      </c>
      <c r="D16" s="4" t="inlineStr">
        <is>
          <t>Clear aligners</t>
        </is>
      </c>
      <c r="E16" s="5" t="n">
        <v>45866</v>
      </c>
      <c r="F16" s="6" t="n">
        <v>13</v>
      </c>
      <c r="G16" s="6" t="n">
        <v>8</v>
      </c>
      <c r="H16" s="5" t="n">
        <v>46249</v>
      </c>
      <c r="I16" s="5" t="n">
        <v>46300</v>
      </c>
      <c r="J16" s="6" t="n">
        <v>38</v>
      </c>
      <c r="K16" s="6" t="n">
        <v>39</v>
      </c>
      <c r="L16" s="14" t="n">
        <v>16500</v>
      </c>
      <c r="M16" s="14" t="n">
        <v>5000</v>
      </c>
      <c r="N16" s="6" t="n">
        <v>18</v>
      </c>
      <c r="O16" s="14" t="n">
        <v>13950</v>
      </c>
      <c r="P16" s="4" t="inlineStr">
        <is>
          <t>Active</t>
        </is>
      </c>
      <c r="Q16" s="15">
        <f>IF($E16="","",ROUND(('Settings'!$B$6-$E16)/30.4375,1))</f>
        <v/>
      </c>
      <c r="R16" s="16">
        <f>IF(OR($E16="",N($F16)=0),"",$Q16/$F16)</f>
        <v/>
      </c>
      <c r="S16" s="16">
        <f>IF(N($K16)=0,"",N($J16)/$K16)</f>
        <v/>
      </c>
      <c r="T16" s="17">
        <f>IF(OR($H16="",$G16=""),"",$H16+$G16*7)</f>
        <v/>
      </c>
      <c r="U16" s="9">
        <f>IF(OR($A16="",NOT(OR($P16="Active",$P16="Retention"))),"",IF(AND($I16&lt;&gt;"",$I16&gt;='Settings'!$B$6),"Booked",IF($T16="","",IF('Settings'!$B$6&gt;$T16+'Settings'!$B$7,"Overdue",IF($T16&lt;='Settings'!$B$6+7,"Due this week","On schedule")))))</f>
        <v/>
      </c>
      <c r="V16" s="15">
        <f>IF(OR($L16="",N($N16)=0),"",($L16-N($M16))/$N16)</f>
        <v/>
      </c>
      <c r="W16" s="15">
        <f>IF(OR($L16="",$E16=""),"",MIN($L16,N($M16)+N($V16)*MIN(N($N16),MAX(0,((YEAR('Settings'!$B$6)-YEAR($E16))*12+MONTH('Settings'!$B$6)-MONTH($E16)-IF(DAY('Settings'!$B$6)&lt;DAY($E16),1,0))))))</f>
        <v/>
      </c>
      <c r="X16" s="15">
        <f>IF($L16="","",$L16-N($O16))</f>
        <v/>
      </c>
      <c r="Y16" s="15">
        <f>IF($W16="","",MAX(0,$W16-N($O16)))</f>
        <v/>
      </c>
      <c r="Z16" s="9">
        <f>IF(OR($A16="",$L16=""),"",IF($X16&lt;=0,"Paid in full",IF($Y16&lt;1,"On track",IF($Y16&lt;=$V16,"1 instalment behind","Behind"))))</f>
        <v/>
      </c>
      <c r="AA16" s="18">
        <f>IF($U16="Overdue",COUNTIF($U$3:$U16,"Overdue"),"")</f>
        <v/>
      </c>
    </row>
    <row r="17">
      <c r="A17" s="4" t="inlineStr">
        <is>
          <t>D-1207</t>
        </is>
      </c>
      <c r="B17" s="4" t="inlineStr">
        <is>
          <t>Sara Al Qarni</t>
        </is>
      </c>
      <c r="C17" s="4" t="inlineStr">
        <is>
          <t>Dr Reem Al Otaibi</t>
        </is>
      </c>
      <c r="D17" s="4" t="inlineStr">
        <is>
          <t>Fixed, metal brackets</t>
        </is>
      </c>
      <c r="E17" s="5" t="n">
        <v>45892</v>
      </c>
      <c r="F17" s="6" t="n">
        <v>24</v>
      </c>
      <c r="G17" s="6" t="n">
        <v>6</v>
      </c>
      <c r="H17" s="5" t="n">
        <v>46285</v>
      </c>
      <c r="I17" s="5" t="n">
        <v>46299</v>
      </c>
      <c r="J17" s="6" t="n"/>
      <c r="K17" s="6" t="n"/>
      <c r="L17" s="14" t="n">
        <v>9000</v>
      </c>
      <c r="M17" s="14" t="n">
        <v>2200</v>
      </c>
      <c r="N17" s="6" t="n">
        <v>18</v>
      </c>
      <c r="O17" s="14" t="n">
        <v>7150</v>
      </c>
      <c r="P17" s="4" t="inlineStr">
        <is>
          <t>Active</t>
        </is>
      </c>
      <c r="Q17" s="15">
        <f>IF($E17="","",ROUND(('Settings'!$B$6-$E17)/30.4375,1))</f>
        <v/>
      </c>
      <c r="R17" s="16">
        <f>IF(OR($E17="",N($F17)=0),"",$Q17/$F17)</f>
        <v/>
      </c>
      <c r="S17" s="16">
        <f>IF(N($K17)=0,"",N($J17)/$K17)</f>
        <v/>
      </c>
      <c r="T17" s="17">
        <f>IF(OR($H17="",$G17=""),"",$H17+$G17*7)</f>
        <v/>
      </c>
      <c r="U17" s="9">
        <f>IF(OR($A17="",NOT(OR($P17="Active",$P17="Retention"))),"",IF(AND($I17&lt;&gt;"",$I17&gt;='Settings'!$B$6),"Booked",IF($T17="","",IF('Settings'!$B$6&gt;$T17+'Settings'!$B$7,"Overdue",IF($T17&lt;='Settings'!$B$6+7,"Due this week","On schedule")))))</f>
        <v/>
      </c>
      <c r="V17" s="15">
        <f>IF(OR($L17="",N($N17)=0),"",($L17-N($M17))/$N17)</f>
        <v/>
      </c>
      <c r="W17" s="15">
        <f>IF(OR($L17="",$E17=""),"",MIN($L17,N($M17)+N($V17)*MIN(N($N17),MAX(0,((YEAR('Settings'!$B$6)-YEAR($E17))*12+MONTH('Settings'!$B$6)-MONTH($E17)-IF(DAY('Settings'!$B$6)&lt;DAY($E17),1,0))))))</f>
        <v/>
      </c>
      <c r="X17" s="15">
        <f>IF($L17="","",$L17-N($O17))</f>
        <v/>
      </c>
      <c r="Y17" s="15">
        <f>IF($W17="","",MAX(0,$W17-N($O17)))</f>
        <v/>
      </c>
      <c r="Z17" s="9">
        <f>IF(OR($A17="",$L17=""),"",IF($X17&lt;=0,"Paid in full",IF($Y17&lt;1,"On track",IF($Y17&lt;=$V17,"1 instalment behind","Behind"))))</f>
        <v/>
      </c>
      <c r="AA17" s="18">
        <f>IF($U17="Overdue",COUNTIF($U$3:$U17,"Overdue"),"")</f>
        <v/>
      </c>
    </row>
    <row r="18">
      <c r="A18" s="4" t="inlineStr">
        <is>
          <t>D-1291</t>
        </is>
      </c>
      <c r="B18" s="4" t="inlineStr">
        <is>
          <t>Asmaa Al Juhani</t>
        </is>
      </c>
      <c r="C18" s="4" t="inlineStr">
        <is>
          <t>Dr Reem Al Otaibi</t>
        </is>
      </c>
      <c r="D18" s="4" t="inlineStr">
        <is>
          <t>Clear aligners</t>
        </is>
      </c>
      <c r="E18" s="5" t="n">
        <v>45928</v>
      </c>
      <c r="F18" s="6" t="n">
        <v>12</v>
      </c>
      <c r="G18" s="6" t="n">
        <v>8</v>
      </c>
      <c r="H18" s="5" t="n">
        <v>46257</v>
      </c>
      <c r="I18" s="5" t="n">
        <v>46296</v>
      </c>
      <c r="J18" s="6" t="n">
        <v>39</v>
      </c>
      <c r="K18" s="6" t="n">
        <v>40</v>
      </c>
      <c r="L18" s="14" t="n">
        <v>17000</v>
      </c>
      <c r="M18" s="14" t="n">
        <v>3400</v>
      </c>
      <c r="N18" s="6" t="n">
        <v>24</v>
      </c>
      <c r="O18" s="14" t="n">
        <v>10800</v>
      </c>
      <c r="P18" s="4" t="inlineStr">
        <is>
          <t>Active</t>
        </is>
      </c>
      <c r="Q18" s="15">
        <f>IF($E18="","",ROUND(('Settings'!$B$6-$E18)/30.4375,1))</f>
        <v/>
      </c>
      <c r="R18" s="16">
        <f>IF(OR($E18="",N($F18)=0),"",$Q18/$F18)</f>
        <v/>
      </c>
      <c r="S18" s="16">
        <f>IF(N($K18)=0,"",N($J18)/$K18)</f>
        <v/>
      </c>
      <c r="T18" s="17">
        <f>IF(OR($H18="",$G18=""),"",$H18+$G18*7)</f>
        <v/>
      </c>
      <c r="U18" s="9">
        <f>IF(OR($A18="",NOT(OR($P18="Active",$P18="Retention"))),"",IF(AND($I18&lt;&gt;"",$I18&gt;='Settings'!$B$6),"Booked",IF($T18="","",IF('Settings'!$B$6&gt;$T18+'Settings'!$B$7,"Overdue",IF($T18&lt;='Settings'!$B$6+7,"Due this week","On schedule")))))</f>
        <v/>
      </c>
      <c r="V18" s="15">
        <f>IF(OR($L18="",N($N18)=0),"",($L18-N($M18))/$N18)</f>
        <v/>
      </c>
      <c r="W18" s="15">
        <f>IF(OR($L18="",$E18=""),"",MIN($L18,N($M18)+N($V18)*MIN(N($N18),MAX(0,((YEAR('Settings'!$B$6)-YEAR($E18))*12+MONTH('Settings'!$B$6)-MONTH($E18)-IF(DAY('Settings'!$B$6)&lt;DAY($E18),1,0))))))</f>
        <v/>
      </c>
      <c r="X18" s="15">
        <f>IF($L18="","",$L18-N($O18))</f>
        <v/>
      </c>
      <c r="Y18" s="15">
        <f>IF($W18="","",MAX(0,$W18-N($O18)))</f>
        <v/>
      </c>
      <c r="Z18" s="9">
        <f>IF(OR($A18="",$L18=""),"",IF($X18&lt;=0,"Paid in full",IF($Y18&lt;1,"On track",IF($Y18&lt;=$V18,"1 instalment behind","Behind"))))</f>
        <v/>
      </c>
      <c r="AA18" s="18">
        <f>IF($U18="Overdue",COUNTIF($U$3:$U18,"Overdue"),"")</f>
        <v/>
      </c>
    </row>
    <row r="19">
      <c r="A19" s="4" t="inlineStr">
        <is>
          <t>D-1242</t>
        </is>
      </c>
      <c r="B19" s="4" t="inlineStr">
        <is>
          <t>Hamad Al Kaabi</t>
        </is>
      </c>
      <c r="C19" s="4" t="inlineStr">
        <is>
          <t>Dr Tarek Hamdy</t>
        </is>
      </c>
      <c r="D19" s="4" t="inlineStr">
        <is>
          <t>Removable appliance</t>
        </is>
      </c>
      <c r="E19" s="5" t="n">
        <v>45940</v>
      </c>
      <c r="F19" s="6" t="n">
        <v>12</v>
      </c>
      <c r="G19" s="6" t="n">
        <v>6</v>
      </c>
      <c r="H19" s="5" t="n">
        <v>46258</v>
      </c>
      <c r="I19" s="5" t="n">
        <v>46296</v>
      </c>
      <c r="J19" s="6" t="n"/>
      <c r="K19" s="6" t="n"/>
      <c r="L19" s="14" t="n">
        <v>3500</v>
      </c>
      <c r="M19" s="14" t="n">
        <v>900</v>
      </c>
      <c r="N19" s="6" t="n">
        <v>6</v>
      </c>
      <c r="O19" s="14" t="n">
        <v>2200</v>
      </c>
      <c r="P19" s="4" t="inlineStr">
        <is>
          <t>Active</t>
        </is>
      </c>
      <c r="Q19" s="15">
        <f>IF($E19="","",ROUND(('Settings'!$B$6-$E19)/30.4375,1))</f>
        <v/>
      </c>
      <c r="R19" s="16">
        <f>IF(OR($E19="",N($F19)=0),"",$Q19/$F19)</f>
        <v/>
      </c>
      <c r="S19" s="16">
        <f>IF(N($K19)=0,"",N($J19)/$K19)</f>
        <v/>
      </c>
      <c r="T19" s="17">
        <f>IF(OR($H19="",$G19=""),"",$H19+$G19*7)</f>
        <v/>
      </c>
      <c r="U19" s="9">
        <f>IF(OR($A19="",NOT(OR($P19="Active",$P19="Retention"))),"",IF(AND($I19&lt;&gt;"",$I19&gt;='Settings'!$B$6),"Booked",IF($T19="","",IF('Settings'!$B$6&gt;$T19+'Settings'!$B$7,"Overdue",IF($T19&lt;='Settings'!$B$6+7,"Due this week","On schedule")))))</f>
        <v/>
      </c>
      <c r="V19" s="15">
        <f>IF(OR($L19="",N($N19)=0),"",($L19-N($M19))/$N19)</f>
        <v/>
      </c>
      <c r="W19" s="15">
        <f>IF(OR($L19="",$E19=""),"",MIN($L19,N($M19)+N($V19)*MIN(N($N19),MAX(0,((YEAR('Settings'!$B$6)-YEAR($E19))*12+MONTH('Settings'!$B$6)-MONTH($E19)-IF(DAY('Settings'!$B$6)&lt;DAY($E19),1,0))))))</f>
        <v/>
      </c>
      <c r="X19" s="15">
        <f>IF($L19="","",$L19-N($O19))</f>
        <v/>
      </c>
      <c r="Y19" s="15">
        <f>IF($W19="","",MAX(0,$W19-N($O19)))</f>
        <v/>
      </c>
      <c r="Z19" s="9">
        <f>IF(OR($A19="",$L19=""),"",IF($X19&lt;=0,"Paid in full",IF($Y19&lt;1,"On track",IF($Y19&lt;=$V19,"1 instalment behind","Behind"))))</f>
        <v/>
      </c>
      <c r="AA19" s="18">
        <f>IF($U19="Overdue",COUNTIF($U$3:$U19,"Overdue"),"")</f>
        <v/>
      </c>
    </row>
    <row r="20">
      <c r="A20" s="4" t="inlineStr">
        <is>
          <t>D-1214</t>
        </is>
      </c>
      <c r="B20" s="4" t="inlineStr">
        <is>
          <t>Majed Al Dossary</t>
        </is>
      </c>
      <c r="C20" s="4" t="inlineStr">
        <is>
          <t>Dr Reem Al Otaibi</t>
        </is>
      </c>
      <c r="D20" s="4" t="inlineStr">
        <is>
          <t>Fixed, metal brackets</t>
        </is>
      </c>
      <c r="E20" s="5" t="n">
        <v>45969</v>
      </c>
      <c r="F20" s="6" t="n">
        <v>24</v>
      </c>
      <c r="G20" s="6" t="n">
        <v>6</v>
      </c>
      <c r="H20" s="5" t="n">
        <v>46272</v>
      </c>
      <c r="I20" s="5" t="n">
        <v>46301</v>
      </c>
      <c r="J20" s="6" t="n"/>
      <c r="K20" s="6" t="n"/>
      <c r="L20" s="14" t="n">
        <v>9500</v>
      </c>
      <c r="M20" s="14" t="n">
        <v>1900</v>
      </c>
      <c r="N20" s="6" t="n">
        <v>18</v>
      </c>
      <c r="O20" s="14" t="n">
        <v>6150</v>
      </c>
      <c r="P20" s="4" t="inlineStr">
        <is>
          <t>Active</t>
        </is>
      </c>
      <c r="Q20" s="15">
        <f>IF($E20="","",ROUND(('Settings'!$B$6-$E20)/30.4375,1))</f>
        <v/>
      </c>
      <c r="R20" s="16">
        <f>IF(OR($E20="",N($F20)=0),"",$Q20/$F20)</f>
        <v/>
      </c>
      <c r="S20" s="16">
        <f>IF(N($K20)=0,"",N($J20)/$K20)</f>
        <v/>
      </c>
      <c r="T20" s="17">
        <f>IF(OR($H20="",$G20=""),"",$H20+$G20*7)</f>
        <v/>
      </c>
      <c r="U20" s="9">
        <f>IF(OR($A20="",NOT(OR($P20="Active",$P20="Retention"))),"",IF(AND($I20&lt;&gt;"",$I20&gt;='Settings'!$B$6),"Booked",IF($T20="","",IF('Settings'!$B$6&gt;$T20+'Settings'!$B$7,"Overdue",IF($T20&lt;='Settings'!$B$6+7,"Due this week","On schedule")))))</f>
        <v/>
      </c>
      <c r="V20" s="15">
        <f>IF(OR($L20="",N($N20)=0),"",($L20-N($M20))/$N20)</f>
        <v/>
      </c>
      <c r="W20" s="15">
        <f>IF(OR($L20="",$E20=""),"",MIN($L20,N($M20)+N($V20)*MIN(N($N20),MAX(0,((YEAR('Settings'!$B$6)-YEAR($E20))*12+MONTH('Settings'!$B$6)-MONTH($E20)-IF(DAY('Settings'!$B$6)&lt;DAY($E20),1,0))))))</f>
        <v/>
      </c>
      <c r="X20" s="15">
        <f>IF($L20="","",$L20-N($O20))</f>
        <v/>
      </c>
      <c r="Y20" s="15">
        <f>IF($W20="","",MAX(0,$W20-N($O20)))</f>
        <v/>
      </c>
      <c r="Z20" s="9">
        <f>IF(OR($A20="",$L20=""),"",IF($X20&lt;=0,"Paid in full",IF($Y20&lt;1,"On track",IF($Y20&lt;=$V20,"1 instalment behind","Behind"))))</f>
        <v/>
      </c>
      <c r="AA20" s="18">
        <f>IF($U20="Overdue",COUNTIF($U$3:$U20,"Overdue"),"")</f>
        <v/>
      </c>
    </row>
    <row r="21">
      <c r="A21" s="4" t="inlineStr">
        <is>
          <t>D-1431</t>
        </is>
      </c>
      <c r="B21" s="4" t="inlineStr">
        <is>
          <t>Rana Al Husseini</t>
        </is>
      </c>
      <c r="C21" s="4" t="inlineStr">
        <is>
          <t>Dr Tarek Hamdy</t>
        </is>
      </c>
      <c r="D21" s="4" t="inlineStr">
        <is>
          <t>Fixed, metal brackets</t>
        </is>
      </c>
      <c r="E21" s="5" t="n">
        <v>45970</v>
      </c>
      <c r="F21" s="6" t="n">
        <v>18</v>
      </c>
      <c r="G21" s="6" t="n">
        <v>6</v>
      </c>
      <c r="H21" s="5" t="n">
        <v>46285</v>
      </c>
      <c r="I21" s="5" t="n">
        <v>46311</v>
      </c>
      <c r="J21" s="6" t="n"/>
      <c r="K21" s="6" t="n"/>
      <c r="L21" s="14" t="n">
        <v>8500</v>
      </c>
      <c r="M21" s="14" t="n">
        <v>1700</v>
      </c>
      <c r="N21" s="6" t="n">
        <v>24</v>
      </c>
      <c r="O21" s="14" t="n">
        <v>4550</v>
      </c>
      <c r="P21" s="4" t="inlineStr">
        <is>
          <t>Active</t>
        </is>
      </c>
      <c r="Q21" s="15">
        <f>IF($E21="","",ROUND(('Settings'!$B$6-$E21)/30.4375,1))</f>
        <v/>
      </c>
      <c r="R21" s="16">
        <f>IF(OR($E21="",N($F21)=0),"",$Q21/$F21)</f>
        <v/>
      </c>
      <c r="S21" s="16">
        <f>IF(N($K21)=0,"",N($J21)/$K21)</f>
        <v/>
      </c>
      <c r="T21" s="17">
        <f>IF(OR($H21="",$G21=""),"",$H21+$G21*7)</f>
        <v/>
      </c>
      <c r="U21" s="9">
        <f>IF(OR($A21="",NOT(OR($P21="Active",$P21="Retention"))),"",IF(AND($I21&lt;&gt;"",$I21&gt;='Settings'!$B$6),"Booked",IF($T21="","",IF('Settings'!$B$6&gt;$T21+'Settings'!$B$7,"Overdue",IF($T21&lt;='Settings'!$B$6+7,"Due this week","On schedule")))))</f>
        <v/>
      </c>
      <c r="V21" s="15">
        <f>IF(OR($L21="",N($N21)=0),"",($L21-N($M21))/$N21)</f>
        <v/>
      </c>
      <c r="W21" s="15">
        <f>IF(OR($L21="",$E21=""),"",MIN($L21,N($M21)+N($V21)*MIN(N($N21),MAX(0,((YEAR('Settings'!$B$6)-YEAR($E21))*12+MONTH('Settings'!$B$6)-MONTH($E21)-IF(DAY('Settings'!$B$6)&lt;DAY($E21),1,0))))))</f>
        <v/>
      </c>
      <c r="X21" s="15">
        <f>IF($L21="","",$L21-N($O21))</f>
        <v/>
      </c>
      <c r="Y21" s="15">
        <f>IF($W21="","",MAX(0,$W21-N($O21)))</f>
        <v/>
      </c>
      <c r="Z21" s="9">
        <f>IF(OR($A21="",$L21=""),"",IF($X21&lt;=0,"Paid in full",IF($Y21&lt;1,"On track",IF($Y21&lt;=$V21,"1 instalment behind","Behind"))))</f>
        <v/>
      </c>
      <c r="AA21" s="18">
        <f>IF($U21="Overdue",COUNTIF($U$3:$U21,"Overdue"),"")</f>
        <v/>
      </c>
    </row>
    <row r="22">
      <c r="A22" s="4" t="inlineStr">
        <is>
          <t>D-1298</t>
        </is>
      </c>
      <c r="B22" s="4" t="inlineStr">
        <is>
          <t>Naif Al Qahtani</t>
        </is>
      </c>
      <c r="C22" s="4" t="inlineStr">
        <is>
          <t>Dr Tarek Hamdy</t>
        </is>
      </c>
      <c r="D22" s="4" t="inlineStr">
        <is>
          <t>Fixed, metal brackets</t>
        </is>
      </c>
      <c r="E22" s="5" t="n">
        <v>45976</v>
      </c>
      <c r="F22" s="6" t="n">
        <v>20</v>
      </c>
      <c r="G22" s="6" t="n">
        <v>6</v>
      </c>
      <c r="H22" s="5" t="n">
        <v>46280</v>
      </c>
      <c r="I22" s="5" t="n">
        <v>46308</v>
      </c>
      <c r="J22" s="6" t="n"/>
      <c r="K22" s="6" t="n"/>
      <c r="L22" s="14" t="n">
        <v>10000</v>
      </c>
      <c r="M22" s="14" t="n">
        <v>2000</v>
      </c>
      <c r="N22" s="6" t="n">
        <v>24</v>
      </c>
      <c r="O22" s="14" t="n">
        <v>5350</v>
      </c>
      <c r="P22" s="4" t="inlineStr">
        <is>
          <t>Active</t>
        </is>
      </c>
      <c r="Q22" s="15">
        <f>IF($E22="","",ROUND(('Settings'!$B$6-$E22)/30.4375,1))</f>
        <v/>
      </c>
      <c r="R22" s="16">
        <f>IF(OR($E22="",N($F22)=0),"",$Q22/$F22)</f>
        <v/>
      </c>
      <c r="S22" s="16">
        <f>IF(N($K22)=0,"",N($J22)/$K22)</f>
        <v/>
      </c>
      <c r="T22" s="17">
        <f>IF(OR($H22="",$G22=""),"",$H22+$G22*7)</f>
        <v/>
      </c>
      <c r="U22" s="9">
        <f>IF(OR($A22="",NOT(OR($P22="Active",$P22="Retention"))),"",IF(AND($I22&lt;&gt;"",$I22&gt;='Settings'!$B$6),"Booked",IF($T22="","",IF('Settings'!$B$6&gt;$T22+'Settings'!$B$7,"Overdue",IF($T22&lt;='Settings'!$B$6+7,"Due this week","On schedule")))))</f>
        <v/>
      </c>
      <c r="V22" s="15">
        <f>IF(OR($L22="",N($N22)=0),"",($L22-N($M22))/$N22)</f>
        <v/>
      </c>
      <c r="W22" s="15">
        <f>IF(OR($L22="",$E22=""),"",MIN($L22,N($M22)+N($V22)*MIN(N($N22),MAX(0,((YEAR('Settings'!$B$6)-YEAR($E22))*12+MONTH('Settings'!$B$6)-MONTH($E22)-IF(DAY('Settings'!$B$6)&lt;DAY($E22),1,0))))))</f>
        <v/>
      </c>
      <c r="X22" s="15">
        <f>IF($L22="","",$L22-N($O22))</f>
        <v/>
      </c>
      <c r="Y22" s="15">
        <f>IF($W22="","",MAX(0,$W22-N($O22)))</f>
        <v/>
      </c>
      <c r="Z22" s="9">
        <f>IF(OR($A22="",$L22=""),"",IF($X22&lt;=0,"Paid in full",IF($Y22&lt;1,"On track",IF($Y22&lt;=$V22,"1 instalment behind","Behind"))))</f>
        <v/>
      </c>
      <c r="AA22" s="18">
        <f>IF($U22="Overdue",COUNTIF($U$3:$U22,"Overdue"),"")</f>
        <v/>
      </c>
    </row>
    <row r="23">
      <c r="A23" s="4" t="inlineStr">
        <is>
          <t>D-1368</t>
        </is>
      </c>
      <c r="B23" s="4" t="inlineStr">
        <is>
          <t>Iyad Haddad</t>
        </is>
      </c>
      <c r="C23" s="4" t="inlineStr">
        <is>
          <t>Dr Reem Al Otaibi</t>
        </is>
      </c>
      <c r="D23" s="4" t="inlineStr">
        <is>
          <t>Removable appliance</t>
        </is>
      </c>
      <c r="E23" s="5" t="n">
        <v>46021</v>
      </c>
      <c r="F23" s="6" t="n">
        <v>9</v>
      </c>
      <c r="G23" s="6" t="n">
        <v>6</v>
      </c>
      <c r="H23" s="5" t="n">
        <v>46275</v>
      </c>
      <c r="I23" s="5" t="n"/>
      <c r="J23" s="6" t="n"/>
      <c r="K23" s="6" t="n"/>
      <c r="L23" s="14" t="n">
        <v>3500</v>
      </c>
      <c r="M23" s="14" t="n">
        <v>900</v>
      </c>
      <c r="N23" s="6" t="n">
        <v>6</v>
      </c>
      <c r="O23" s="14" t="n">
        <v>3500</v>
      </c>
      <c r="P23" s="4" t="inlineStr">
        <is>
          <t>Active</t>
        </is>
      </c>
      <c r="Q23" s="15">
        <f>IF($E23="","",ROUND(('Settings'!$B$6-$E23)/30.4375,1))</f>
        <v/>
      </c>
      <c r="R23" s="16">
        <f>IF(OR($E23="",N($F23)=0),"",$Q23/$F23)</f>
        <v/>
      </c>
      <c r="S23" s="16">
        <f>IF(N($K23)=0,"",N($J23)/$K23)</f>
        <v/>
      </c>
      <c r="T23" s="17">
        <f>IF(OR($H23="",$G23=""),"",$H23+$G23*7)</f>
        <v/>
      </c>
      <c r="U23" s="9">
        <f>IF(OR($A23="",NOT(OR($P23="Active",$P23="Retention"))),"",IF(AND($I23&lt;&gt;"",$I23&gt;='Settings'!$B$6),"Booked",IF($T23="","",IF('Settings'!$B$6&gt;$T23+'Settings'!$B$7,"Overdue",IF($T23&lt;='Settings'!$B$6+7,"Due this week","On schedule")))))</f>
        <v/>
      </c>
      <c r="V23" s="15">
        <f>IF(OR($L23="",N($N23)=0),"",($L23-N($M23))/$N23)</f>
        <v/>
      </c>
      <c r="W23" s="15">
        <f>IF(OR($L23="",$E23=""),"",MIN($L23,N($M23)+N($V23)*MIN(N($N23),MAX(0,((YEAR('Settings'!$B$6)-YEAR($E23))*12+MONTH('Settings'!$B$6)-MONTH($E23)-IF(DAY('Settings'!$B$6)&lt;DAY($E23),1,0))))))</f>
        <v/>
      </c>
      <c r="X23" s="15">
        <f>IF($L23="","",$L23-N($O23))</f>
        <v/>
      </c>
      <c r="Y23" s="15">
        <f>IF($W23="","",MAX(0,$W23-N($O23)))</f>
        <v/>
      </c>
      <c r="Z23" s="9">
        <f>IF(OR($A23="",$L23=""),"",IF($X23&lt;=0,"Paid in full",IF($Y23&lt;1,"On track",IF($Y23&lt;=$V23,"1 instalment behind","Behind"))))</f>
        <v/>
      </c>
      <c r="AA23" s="18">
        <f>IF($U23="Overdue",COUNTIF($U$3:$U23,"Overdue"),"")</f>
        <v/>
      </c>
    </row>
    <row r="24">
      <c r="A24" s="4" t="inlineStr">
        <is>
          <t>D-1326</t>
        </is>
      </c>
      <c r="B24" s="4" t="inlineStr">
        <is>
          <t>Turki Al Subaie</t>
        </is>
      </c>
      <c r="C24" s="4" t="inlineStr">
        <is>
          <t>Dr Tarek Hamdy</t>
        </is>
      </c>
      <c r="D24" s="4" t="inlineStr">
        <is>
          <t>Clear aligners</t>
        </is>
      </c>
      <c r="E24" s="5" t="n">
        <v>46023</v>
      </c>
      <c r="F24" s="6" t="n">
        <v>13</v>
      </c>
      <c r="G24" s="6" t="n">
        <v>8</v>
      </c>
      <c r="H24" s="5" t="n">
        <v>46265</v>
      </c>
      <c r="I24" s="5" t="n"/>
      <c r="J24" s="6" t="n">
        <v>21</v>
      </c>
      <c r="K24" s="6" t="n">
        <v>32</v>
      </c>
      <c r="L24" s="14" t="n">
        <v>16000</v>
      </c>
      <c r="M24" s="14" t="n">
        <v>4800</v>
      </c>
      <c r="N24" s="6" t="n">
        <v>12</v>
      </c>
      <c r="O24" s="14" t="n">
        <v>12300</v>
      </c>
      <c r="P24" s="4" t="inlineStr">
        <is>
          <t>Active</t>
        </is>
      </c>
      <c r="Q24" s="15">
        <f>IF($E24="","",ROUND(('Settings'!$B$6-$E24)/30.4375,1))</f>
        <v/>
      </c>
      <c r="R24" s="16">
        <f>IF(OR($E24="",N($F24)=0),"",$Q24/$F24)</f>
        <v/>
      </c>
      <c r="S24" s="16">
        <f>IF(N($K24)=0,"",N($J24)/$K24)</f>
        <v/>
      </c>
      <c r="T24" s="17">
        <f>IF(OR($H24="",$G24=""),"",$H24+$G24*7)</f>
        <v/>
      </c>
      <c r="U24" s="9">
        <f>IF(OR($A24="",NOT(OR($P24="Active",$P24="Retention"))),"",IF(AND($I24&lt;&gt;"",$I24&gt;='Settings'!$B$6),"Booked",IF($T24="","",IF('Settings'!$B$6&gt;$T24+'Settings'!$B$7,"Overdue",IF($T24&lt;='Settings'!$B$6+7,"Due this week","On schedule")))))</f>
        <v/>
      </c>
      <c r="V24" s="15">
        <f>IF(OR($L24="",N($N24)=0),"",($L24-N($M24))/$N24)</f>
        <v/>
      </c>
      <c r="W24" s="15">
        <f>IF(OR($L24="",$E24=""),"",MIN($L24,N($M24)+N($V24)*MIN(N($N24),MAX(0,((YEAR('Settings'!$B$6)-YEAR($E24))*12+MONTH('Settings'!$B$6)-MONTH($E24)-IF(DAY('Settings'!$B$6)&lt;DAY($E24),1,0))))))</f>
        <v/>
      </c>
      <c r="X24" s="15">
        <f>IF($L24="","",$L24-N($O24))</f>
        <v/>
      </c>
      <c r="Y24" s="15">
        <f>IF($W24="","",MAX(0,$W24-N($O24)))</f>
        <v/>
      </c>
      <c r="Z24" s="9">
        <f>IF(OR($A24="",$L24=""),"",IF($X24&lt;=0,"Paid in full",IF($Y24&lt;1,"On track",IF($Y24&lt;=$V24,"1 instalment behind","Behind"))))</f>
        <v/>
      </c>
      <c r="AA24" s="18">
        <f>IF($U24="Overdue",COUNTIF($U$3:$U24,"Overdue"),"")</f>
        <v/>
      </c>
    </row>
    <row r="25">
      <c r="A25" s="4" t="inlineStr">
        <is>
          <t>D-1347</t>
        </is>
      </c>
      <c r="B25" s="4" t="inlineStr">
        <is>
          <t>Nour Salem</t>
        </is>
      </c>
      <c r="C25" s="4" t="inlineStr">
        <is>
          <t>Dr Tarek Hamdy</t>
        </is>
      </c>
      <c r="D25" s="4" t="inlineStr">
        <is>
          <t>Fixed, ceramic brackets</t>
        </is>
      </c>
      <c r="E25" s="5" t="n">
        <v>46052</v>
      </c>
      <c r="F25" s="6" t="n">
        <v>24</v>
      </c>
      <c r="G25" s="6" t="n">
        <v>6</v>
      </c>
      <c r="H25" s="5" t="n">
        <v>46209</v>
      </c>
      <c r="I25" s="5" t="n"/>
      <c r="J25" s="6" t="n"/>
      <c r="K25" s="6" t="n"/>
      <c r="L25" s="14" t="n">
        <v>12000</v>
      </c>
      <c r="M25" s="14" t="n">
        <v>2400</v>
      </c>
      <c r="N25" s="6" t="n">
        <v>24</v>
      </c>
      <c r="O25" s="14" t="n">
        <v>5200</v>
      </c>
      <c r="P25" s="4" t="inlineStr">
        <is>
          <t>Active</t>
        </is>
      </c>
      <c r="Q25" s="15">
        <f>IF($E25="","",ROUND(('Settings'!$B$6-$E25)/30.4375,1))</f>
        <v/>
      </c>
      <c r="R25" s="16">
        <f>IF(OR($E25="",N($F25)=0),"",$Q25/$F25)</f>
        <v/>
      </c>
      <c r="S25" s="16">
        <f>IF(N($K25)=0,"",N($J25)/$K25)</f>
        <v/>
      </c>
      <c r="T25" s="17">
        <f>IF(OR($H25="",$G25=""),"",$H25+$G25*7)</f>
        <v/>
      </c>
      <c r="U25" s="9">
        <f>IF(OR($A25="",NOT(OR($P25="Active",$P25="Retention"))),"",IF(AND($I25&lt;&gt;"",$I25&gt;='Settings'!$B$6),"Booked",IF($T25="","",IF('Settings'!$B$6&gt;$T25+'Settings'!$B$7,"Overdue",IF($T25&lt;='Settings'!$B$6+7,"Due this week","On schedule")))))</f>
        <v/>
      </c>
      <c r="V25" s="15">
        <f>IF(OR($L25="",N($N25)=0),"",($L25-N($M25))/$N25)</f>
        <v/>
      </c>
      <c r="W25" s="15">
        <f>IF(OR($L25="",$E25=""),"",MIN($L25,N($M25)+N($V25)*MIN(N($N25),MAX(0,((YEAR('Settings'!$B$6)-YEAR($E25))*12+MONTH('Settings'!$B$6)-MONTH($E25)-IF(DAY('Settings'!$B$6)&lt;DAY($E25),1,0))))))</f>
        <v/>
      </c>
      <c r="X25" s="15">
        <f>IF($L25="","",$L25-N($O25))</f>
        <v/>
      </c>
      <c r="Y25" s="15">
        <f>IF($W25="","",MAX(0,$W25-N($O25)))</f>
        <v/>
      </c>
      <c r="Z25" s="9">
        <f>IF(OR($A25="",$L25=""),"",IF($X25&lt;=0,"Paid in full",IF($Y25&lt;1,"On track",IF($Y25&lt;=$V25,"1 instalment behind","Behind"))))</f>
        <v/>
      </c>
      <c r="AA25" s="18">
        <f>IF($U25="Overdue",COUNTIF($U$3:$U25,"Overdue"),"")</f>
        <v/>
      </c>
    </row>
    <row r="26">
      <c r="A26" s="4" t="inlineStr">
        <is>
          <t>D-1263</t>
        </is>
      </c>
      <c r="B26" s="4" t="inlineStr">
        <is>
          <t>Ghada Al Nimr</t>
        </is>
      </c>
      <c r="C26" s="4" t="inlineStr">
        <is>
          <t>Dr Tarek Hamdy</t>
        </is>
      </c>
      <c r="D26" s="4" t="inlineStr">
        <is>
          <t>Removable appliance</t>
        </is>
      </c>
      <c r="E26" s="5" t="n">
        <v>46059</v>
      </c>
      <c r="F26" s="6" t="n">
        <v>12</v>
      </c>
      <c r="G26" s="6" t="n">
        <v>6</v>
      </c>
      <c r="H26" s="5" t="n">
        <v>46230</v>
      </c>
      <c r="I26" s="5" t="n"/>
      <c r="J26" s="6" t="n"/>
      <c r="K26" s="6" t="n"/>
      <c r="L26" s="14" t="n">
        <v>3500</v>
      </c>
      <c r="M26" s="14" t="n">
        <v>1000</v>
      </c>
      <c r="N26" s="6" t="n">
        <v>6</v>
      </c>
      <c r="O26" s="14" t="n">
        <v>2700</v>
      </c>
      <c r="P26" s="4" t="inlineStr">
        <is>
          <t>Active</t>
        </is>
      </c>
      <c r="Q26" s="15">
        <f>IF($E26="","",ROUND(('Settings'!$B$6-$E26)/30.4375,1))</f>
        <v/>
      </c>
      <c r="R26" s="16">
        <f>IF(OR($E26="",N($F26)=0),"",$Q26/$F26)</f>
        <v/>
      </c>
      <c r="S26" s="16">
        <f>IF(N($K26)=0,"",N($J26)/$K26)</f>
        <v/>
      </c>
      <c r="T26" s="17">
        <f>IF(OR($H26="",$G26=""),"",$H26+$G26*7)</f>
        <v/>
      </c>
      <c r="U26" s="9">
        <f>IF(OR($A26="",NOT(OR($P26="Active",$P26="Retention"))),"",IF(AND($I26&lt;&gt;"",$I26&gt;='Settings'!$B$6),"Booked",IF($T26="","",IF('Settings'!$B$6&gt;$T26+'Settings'!$B$7,"Overdue",IF($T26&lt;='Settings'!$B$6+7,"Due this week","On schedule")))))</f>
        <v/>
      </c>
      <c r="V26" s="15">
        <f>IF(OR($L26="",N($N26)=0),"",($L26-N($M26))/$N26)</f>
        <v/>
      </c>
      <c r="W26" s="15">
        <f>IF(OR($L26="",$E26=""),"",MIN($L26,N($M26)+N($V26)*MIN(N($N26),MAX(0,((YEAR('Settings'!$B$6)-YEAR($E26))*12+MONTH('Settings'!$B$6)-MONTH($E26)-IF(DAY('Settings'!$B$6)&lt;DAY($E26),1,0))))))</f>
        <v/>
      </c>
      <c r="X26" s="15">
        <f>IF($L26="","",$L26-N($O26))</f>
        <v/>
      </c>
      <c r="Y26" s="15">
        <f>IF($W26="","",MAX(0,$W26-N($O26)))</f>
        <v/>
      </c>
      <c r="Z26" s="9">
        <f>IF(OR($A26="",$L26=""),"",IF($X26&lt;=0,"Paid in full",IF($Y26&lt;1,"On track",IF($Y26&lt;=$V26,"1 instalment behind","Behind"))))</f>
        <v/>
      </c>
      <c r="AA26" s="18">
        <f>IF($U26="Overdue",COUNTIF($U$3:$U26,"Overdue"),"")</f>
        <v/>
      </c>
    </row>
    <row r="27">
      <c r="A27" s="4" t="inlineStr">
        <is>
          <t>D-1200</t>
        </is>
      </c>
      <c r="B27" s="4" t="inlineStr">
        <is>
          <t>Abdullah Al Shammari</t>
        </is>
      </c>
      <c r="C27" s="4" t="inlineStr">
        <is>
          <t>Dr Tarek Hamdy</t>
        </is>
      </c>
      <c r="D27" s="4" t="inlineStr">
        <is>
          <t>Fixed, metal brackets</t>
        </is>
      </c>
      <c r="E27" s="5" t="n">
        <v>46067</v>
      </c>
      <c r="F27" s="6" t="n">
        <v>18</v>
      </c>
      <c r="G27" s="6" t="n">
        <v>6</v>
      </c>
      <c r="H27" s="5" t="n">
        <v>46266</v>
      </c>
      <c r="I27" s="5" t="n"/>
      <c r="J27" s="6" t="n"/>
      <c r="K27" s="6" t="n"/>
      <c r="L27" s="14" t="n">
        <v>9000</v>
      </c>
      <c r="M27" s="14" t="n">
        <v>2700</v>
      </c>
      <c r="N27" s="6" t="n">
        <v>18</v>
      </c>
      <c r="O27" s="14" t="n">
        <v>5150</v>
      </c>
      <c r="P27" s="4" t="inlineStr">
        <is>
          <t>Active</t>
        </is>
      </c>
      <c r="Q27" s="15">
        <f>IF($E27="","",ROUND(('Settings'!$B$6-$E27)/30.4375,1))</f>
        <v/>
      </c>
      <c r="R27" s="16">
        <f>IF(OR($E27="",N($F27)=0),"",$Q27/$F27)</f>
        <v/>
      </c>
      <c r="S27" s="16">
        <f>IF(N($K27)=0,"",N($J27)/$K27)</f>
        <v/>
      </c>
      <c r="T27" s="17">
        <f>IF(OR($H27="",$G27=""),"",$H27+$G27*7)</f>
        <v/>
      </c>
      <c r="U27" s="9">
        <f>IF(OR($A27="",NOT(OR($P27="Active",$P27="Retention"))),"",IF(AND($I27&lt;&gt;"",$I27&gt;='Settings'!$B$6),"Booked",IF($T27="","",IF('Settings'!$B$6&gt;$T27+'Settings'!$B$7,"Overdue",IF($T27&lt;='Settings'!$B$6+7,"Due this week","On schedule")))))</f>
        <v/>
      </c>
      <c r="V27" s="15">
        <f>IF(OR($L27="",N($N27)=0),"",($L27-N($M27))/$N27)</f>
        <v/>
      </c>
      <c r="W27" s="15">
        <f>IF(OR($L27="",$E27=""),"",MIN($L27,N($M27)+N($V27)*MIN(N($N27),MAX(0,((YEAR('Settings'!$B$6)-YEAR($E27))*12+MONTH('Settings'!$B$6)-MONTH($E27)-IF(DAY('Settings'!$B$6)&lt;DAY($E27),1,0))))))</f>
        <v/>
      </c>
      <c r="X27" s="15">
        <f>IF($L27="","",$L27-N($O27))</f>
        <v/>
      </c>
      <c r="Y27" s="15">
        <f>IF($W27="","",MAX(0,$W27-N($O27)))</f>
        <v/>
      </c>
      <c r="Z27" s="9">
        <f>IF(OR($A27="",$L27=""),"",IF($X27&lt;=0,"Paid in full",IF($Y27&lt;1,"On track",IF($Y27&lt;=$V27,"1 instalment behind","Behind"))))</f>
        <v/>
      </c>
      <c r="AA27" s="18">
        <f>IF($U27="Overdue",COUNTIF($U$3:$U27,"Overdue"),"")</f>
        <v/>
      </c>
    </row>
    <row r="28">
      <c r="A28" s="4" t="inlineStr">
        <is>
          <t>D-1438</t>
        </is>
      </c>
      <c r="B28" s="4" t="inlineStr">
        <is>
          <t>Zaid Al Saqr</t>
        </is>
      </c>
      <c r="C28" s="4" t="inlineStr">
        <is>
          <t>Dr Tarek Hamdy</t>
        </is>
      </c>
      <c r="D28" s="4" t="inlineStr">
        <is>
          <t>Fixed, metal brackets</t>
        </is>
      </c>
      <c r="E28" s="5" t="n">
        <v>46089</v>
      </c>
      <c r="F28" s="6" t="n">
        <v>23</v>
      </c>
      <c r="G28" s="6" t="n">
        <v>6</v>
      </c>
      <c r="H28" s="5" t="n">
        <v>46281</v>
      </c>
      <c r="I28" s="5" t="n">
        <v>46300</v>
      </c>
      <c r="J28" s="6" t="n"/>
      <c r="K28" s="6" t="n"/>
      <c r="L28" s="14" t="n">
        <v>8500</v>
      </c>
      <c r="M28" s="14" t="n">
        <v>1700</v>
      </c>
      <c r="N28" s="6" t="n">
        <v>12</v>
      </c>
      <c r="O28" s="14" t="n">
        <v>5100</v>
      </c>
      <c r="P28" s="4" t="inlineStr">
        <is>
          <t>Active</t>
        </is>
      </c>
      <c r="Q28" s="15">
        <f>IF($E28="","",ROUND(('Settings'!$B$6-$E28)/30.4375,1))</f>
        <v/>
      </c>
      <c r="R28" s="16">
        <f>IF(OR($E28="",N($F28)=0),"",$Q28/$F28)</f>
        <v/>
      </c>
      <c r="S28" s="16">
        <f>IF(N($K28)=0,"",N($J28)/$K28)</f>
        <v/>
      </c>
      <c r="T28" s="17">
        <f>IF(OR($H28="",$G28=""),"",$H28+$G28*7)</f>
        <v/>
      </c>
      <c r="U28" s="9">
        <f>IF(OR($A28="",NOT(OR($P28="Active",$P28="Retention"))),"",IF(AND($I28&lt;&gt;"",$I28&gt;='Settings'!$B$6),"Booked",IF($T28="","",IF('Settings'!$B$6&gt;$T28+'Settings'!$B$7,"Overdue",IF($T28&lt;='Settings'!$B$6+7,"Due this week","On schedule")))))</f>
        <v/>
      </c>
      <c r="V28" s="15">
        <f>IF(OR($L28="",N($N28)=0),"",($L28-N($M28))/$N28)</f>
        <v/>
      </c>
      <c r="W28" s="15">
        <f>IF(OR($L28="",$E28=""),"",MIN($L28,N($M28)+N($V28)*MIN(N($N28),MAX(0,((YEAR('Settings'!$B$6)-YEAR($E28))*12+MONTH('Settings'!$B$6)-MONTH($E28)-IF(DAY('Settings'!$B$6)&lt;DAY($E28),1,0))))))</f>
        <v/>
      </c>
      <c r="X28" s="15">
        <f>IF($L28="","",$L28-N($O28))</f>
        <v/>
      </c>
      <c r="Y28" s="15">
        <f>IF($W28="","",MAX(0,$W28-N($O28)))</f>
        <v/>
      </c>
      <c r="Z28" s="9">
        <f>IF(OR($A28="",$L28=""),"",IF($X28&lt;=0,"Paid in full",IF($Y28&lt;1,"On track",IF($Y28&lt;=$V28,"1 instalment behind","Behind"))))</f>
        <v/>
      </c>
      <c r="AA28" s="18">
        <f>IF($U28="Overdue",COUNTIF($U$3:$U28,"Overdue"),"")</f>
        <v/>
      </c>
    </row>
    <row r="29">
      <c r="A29" s="4" t="inlineStr">
        <is>
          <t>D-1305</t>
        </is>
      </c>
      <c r="B29" s="4" t="inlineStr">
        <is>
          <t>Rima Al Khalidi</t>
        </is>
      </c>
      <c r="C29" s="4" t="inlineStr">
        <is>
          <t>Dr Tarek Hamdy</t>
        </is>
      </c>
      <c r="D29" s="4" t="inlineStr">
        <is>
          <t>Clear aligners</t>
        </is>
      </c>
      <c r="E29" s="5" t="n">
        <v>46136</v>
      </c>
      <c r="F29" s="6" t="n">
        <v>13</v>
      </c>
      <c r="G29" s="6" t="n">
        <v>8</v>
      </c>
      <c r="H29" s="5" t="n">
        <v>46286</v>
      </c>
      <c r="I29" s="5" t="n"/>
      <c r="J29" s="6" t="n">
        <v>12</v>
      </c>
      <c r="K29" s="6" t="n">
        <v>33</v>
      </c>
      <c r="L29" s="14" t="n">
        <v>15500</v>
      </c>
      <c r="M29" s="14" t="n">
        <v>3100</v>
      </c>
      <c r="N29" s="6" t="n">
        <v>12</v>
      </c>
      <c r="O29" s="14" t="n">
        <v>8300</v>
      </c>
      <c r="P29" s="4" t="inlineStr">
        <is>
          <t>Active</t>
        </is>
      </c>
      <c r="Q29" s="15">
        <f>IF($E29="","",ROUND(('Settings'!$B$6-$E29)/30.4375,1))</f>
        <v/>
      </c>
      <c r="R29" s="16">
        <f>IF(OR($E29="",N($F29)=0),"",$Q29/$F29)</f>
        <v/>
      </c>
      <c r="S29" s="16">
        <f>IF(N($K29)=0,"",N($J29)/$K29)</f>
        <v/>
      </c>
      <c r="T29" s="17">
        <f>IF(OR($H29="",$G29=""),"",$H29+$G29*7)</f>
        <v/>
      </c>
      <c r="U29" s="9">
        <f>IF(OR($A29="",NOT(OR($P29="Active",$P29="Retention"))),"",IF(AND($I29&lt;&gt;"",$I29&gt;='Settings'!$B$6),"Booked",IF($T29="","",IF('Settings'!$B$6&gt;$T29+'Settings'!$B$7,"Overdue",IF($T29&lt;='Settings'!$B$6+7,"Due this week","On schedule")))))</f>
        <v/>
      </c>
      <c r="V29" s="15">
        <f>IF(OR($L29="",N($N29)=0),"",($L29-N($M29))/$N29)</f>
        <v/>
      </c>
      <c r="W29" s="15">
        <f>IF(OR($L29="",$E29=""),"",MIN($L29,N($M29)+N($V29)*MIN(N($N29),MAX(0,((YEAR('Settings'!$B$6)-YEAR($E29))*12+MONTH('Settings'!$B$6)-MONTH($E29)-IF(DAY('Settings'!$B$6)&lt;DAY($E29),1,0))))))</f>
        <v/>
      </c>
      <c r="X29" s="15">
        <f>IF($L29="","",$L29-N($O29))</f>
        <v/>
      </c>
      <c r="Y29" s="15">
        <f>IF($W29="","",MAX(0,$W29-N($O29)))</f>
        <v/>
      </c>
      <c r="Z29" s="9">
        <f>IF(OR($A29="",$L29=""),"",IF($X29&lt;=0,"Paid in full",IF($Y29&lt;1,"On track",IF($Y29&lt;=$V29,"1 instalment behind","Behind"))))</f>
        <v/>
      </c>
      <c r="AA29" s="18">
        <f>IF($U29="Overdue",COUNTIF($U$3:$U29,"Overdue"),"")</f>
        <v/>
      </c>
    </row>
    <row r="30">
      <c r="A30" s="4" t="inlineStr">
        <is>
          <t>D-1277</t>
        </is>
      </c>
      <c r="B30" s="4" t="inlineStr">
        <is>
          <t>Rahaf Al Malki</t>
        </is>
      </c>
      <c r="C30" s="4" t="inlineStr">
        <is>
          <t>Dr Tarek Hamdy</t>
        </is>
      </c>
      <c r="D30" s="4" t="inlineStr">
        <is>
          <t>Fixed, ceramic brackets</t>
        </is>
      </c>
      <c r="E30" s="5" t="n">
        <v>46141</v>
      </c>
      <c r="F30" s="6" t="n">
        <v>23</v>
      </c>
      <c r="G30" s="6" t="n">
        <v>6</v>
      </c>
      <c r="H30" s="5" t="n">
        <v>46258</v>
      </c>
      <c r="I30" s="5" t="n">
        <v>46300</v>
      </c>
      <c r="J30" s="6" t="n"/>
      <c r="K30" s="6" t="n"/>
      <c r="L30" s="14" t="n">
        <v>12000</v>
      </c>
      <c r="M30" s="14" t="n">
        <v>2400</v>
      </c>
      <c r="N30" s="6" t="n">
        <v>18</v>
      </c>
      <c r="O30" s="14" t="n">
        <v>4550</v>
      </c>
      <c r="P30" s="4" t="inlineStr">
        <is>
          <t>Active</t>
        </is>
      </c>
      <c r="Q30" s="15">
        <f>IF($E30="","",ROUND(('Settings'!$B$6-$E30)/30.4375,1))</f>
        <v/>
      </c>
      <c r="R30" s="16">
        <f>IF(OR($E30="",N($F30)=0),"",$Q30/$F30)</f>
        <v/>
      </c>
      <c r="S30" s="16">
        <f>IF(N($K30)=0,"",N($J30)/$K30)</f>
        <v/>
      </c>
      <c r="T30" s="17">
        <f>IF(OR($H30="",$G30=""),"",$H30+$G30*7)</f>
        <v/>
      </c>
      <c r="U30" s="9">
        <f>IF(OR($A30="",NOT(OR($P30="Active",$P30="Retention"))),"",IF(AND($I30&lt;&gt;"",$I30&gt;='Settings'!$B$6),"Booked",IF($T30="","",IF('Settings'!$B$6&gt;$T30+'Settings'!$B$7,"Overdue",IF($T30&lt;='Settings'!$B$6+7,"Due this week","On schedule")))))</f>
        <v/>
      </c>
      <c r="V30" s="15">
        <f>IF(OR($L30="",N($N30)=0),"",($L30-N($M30))/$N30)</f>
        <v/>
      </c>
      <c r="W30" s="15">
        <f>IF(OR($L30="",$E30=""),"",MIN($L30,N($M30)+N($V30)*MIN(N($N30),MAX(0,((YEAR('Settings'!$B$6)-YEAR($E30))*12+MONTH('Settings'!$B$6)-MONTH($E30)-IF(DAY('Settings'!$B$6)&lt;DAY($E30),1,0))))))</f>
        <v/>
      </c>
      <c r="X30" s="15">
        <f>IF($L30="","",$L30-N($O30))</f>
        <v/>
      </c>
      <c r="Y30" s="15">
        <f>IF($W30="","",MAX(0,$W30-N($O30)))</f>
        <v/>
      </c>
      <c r="Z30" s="9">
        <f>IF(OR($A30="",$L30=""),"",IF($X30&lt;=0,"Paid in full",IF($Y30&lt;1,"On track",IF($Y30&lt;=$V30,"1 instalment behind","Behind"))))</f>
        <v/>
      </c>
      <c r="AA30" s="18">
        <f>IF($U30="Overdue",COUNTIF($U$3:$U30,"Overdue"),"")</f>
        <v/>
      </c>
    </row>
    <row r="31">
      <c r="A31" s="4" t="inlineStr">
        <is>
          <t>D-1333</t>
        </is>
      </c>
      <c r="B31" s="4" t="inlineStr">
        <is>
          <t>Joud Al Omari</t>
        </is>
      </c>
      <c r="C31" s="4" t="inlineStr">
        <is>
          <t>Dr Reem Al Otaibi</t>
        </is>
      </c>
      <c r="D31" s="4" t="inlineStr">
        <is>
          <t>Clear aligners</t>
        </is>
      </c>
      <c r="E31" s="5" t="n">
        <v>46158</v>
      </c>
      <c r="F31" s="6" t="n">
        <v>10</v>
      </c>
      <c r="G31" s="6" t="n">
        <v>8</v>
      </c>
      <c r="H31" s="5" t="n">
        <v>46195</v>
      </c>
      <c r="I31" s="5" t="n"/>
      <c r="J31" s="6" t="n">
        <v>12</v>
      </c>
      <c r="K31" s="6" t="n">
        <v>32</v>
      </c>
      <c r="L31" s="14" t="n">
        <v>15500</v>
      </c>
      <c r="M31" s="14" t="n">
        <v>3900</v>
      </c>
      <c r="N31" s="6" t="n">
        <v>18</v>
      </c>
      <c r="O31" s="14" t="n">
        <v>6500</v>
      </c>
      <c r="P31" s="4" t="inlineStr">
        <is>
          <t>Active</t>
        </is>
      </c>
      <c r="Q31" s="15">
        <f>IF($E31="","",ROUND(('Settings'!$B$6-$E31)/30.4375,1))</f>
        <v/>
      </c>
      <c r="R31" s="16">
        <f>IF(OR($E31="",N($F31)=0),"",$Q31/$F31)</f>
        <v/>
      </c>
      <c r="S31" s="16">
        <f>IF(N($K31)=0,"",N($J31)/$K31)</f>
        <v/>
      </c>
      <c r="T31" s="17">
        <f>IF(OR($H31="",$G31=""),"",$H31+$G31*7)</f>
        <v/>
      </c>
      <c r="U31" s="9">
        <f>IF(OR($A31="",NOT(OR($P31="Active",$P31="Retention"))),"",IF(AND($I31&lt;&gt;"",$I31&gt;='Settings'!$B$6),"Booked",IF($T31="","",IF('Settings'!$B$6&gt;$T31+'Settings'!$B$7,"Overdue",IF($T31&lt;='Settings'!$B$6+7,"Due this week","On schedule")))))</f>
        <v/>
      </c>
      <c r="V31" s="15">
        <f>IF(OR($L31="",N($N31)=0),"",($L31-N($M31))/$N31)</f>
        <v/>
      </c>
      <c r="W31" s="15">
        <f>IF(OR($L31="",$E31=""),"",MIN($L31,N($M31)+N($V31)*MIN(N($N31),MAX(0,((YEAR('Settings'!$B$6)-YEAR($E31))*12+MONTH('Settings'!$B$6)-MONTH($E31)-IF(DAY('Settings'!$B$6)&lt;DAY($E31),1,0))))))</f>
        <v/>
      </c>
      <c r="X31" s="15">
        <f>IF($L31="","",$L31-N($O31))</f>
        <v/>
      </c>
      <c r="Y31" s="15">
        <f>IF($W31="","",MAX(0,$W31-N($O31)))</f>
        <v/>
      </c>
      <c r="Z31" s="9">
        <f>IF(OR($A31="",$L31=""),"",IF($X31&lt;=0,"Paid in full",IF($Y31&lt;1,"On track",IF($Y31&lt;=$V31,"1 instalment behind","Behind"))))</f>
        <v/>
      </c>
      <c r="AA31" s="18">
        <f>IF($U31="Overdue",COUNTIF($U$3:$U31,"Overdue"),"")</f>
        <v/>
      </c>
    </row>
    <row r="32">
      <c r="A32" s="4" t="inlineStr">
        <is>
          <t>D-1221</t>
        </is>
      </c>
      <c r="B32" s="4" t="inlineStr">
        <is>
          <t>Lina Abdulrahman</t>
        </is>
      </c>
      <c r="C32" s="4" t="inlineStr">
        <is>
          <t>Dr Reem Al Otaibi</t>
        </is>
      </c>
      <c r="D32" s="4" t="inlineStr">
        <is>
          <t>Removable appliance</t>
        </is>
      </c>
      <c r="E32" s="5" t="n">
        <v>46160</v>
      </c>
      <c r="F32" s="6" t="n">
        <v>9</v>
      </c>
      <c r="G32" s="6" t="n">
        <v>6</v>
      </c>
      <c r="H32" s="5" t="n">
        <v>46290</v>
      </c>
      <c r="I32" s="5" t="n">
        <v>46295</v>
      </c>
      <c r="J32" s="6" t="n"/>
      <c r="K32" s="6" t="n"/>
      <c r="L32" s="14" t="n">
        <v>3500</v>
      </c>
      <c r="M32" s="14" t="n">
        <v>900</v>
      </c>
      <c r="N32" s="6" t="n">
        <v>6</v>
      </c>
      <c r="O32" s="14" t="n">
        <v>2650</v>
      </c>
      <c r="P32" s="4" t="inlineStr">
        <is>
          <t>Active</t>
        </is>
      </c>
      <c r="Q32" s="15">
        <f>IF($E32="","",ROUND(('Settings'!$B$6-$E32)/30.4375,1))</f>
        <v/>
      </c>
      <c r="R32" s="16">
        <f>IF(OR($E32="",N($F32)=0),"",$Q32/$F32)</f>
        <v/>
      </c>
      <c r="S32" s="16">
        <f>IF(N($K32)=0,"",N($J32)/$K32)</f>
        <v/>
      </c>
      <c r="T32" s="17">
        <f>IF(OR($H32="",$G32=""),"",$H32+$G32*7)</f>
        <v/>
      </c>
      <c r="U32" s="9">
        <f>IF(OR($A32="",NOT(OR($P32="Active",$P32="Retention"))),"",IF(AND($I32&lt;&gt;"",$I32&gt;='Settings'!$B$6),"Booked",IF($T32="","",IF('Settings'!$B$6&gt;$T32+'Settings'!$B$7,"Overdue",IF($T32&lt;='Settings'!$B$6+7,"Due this week","On schedule")))))</f>
        <v/>
      </c>
      <c r="V32" s="15">
        <f>IF(OR($L32="",N($N32)=0),"",($L32-N($M32))/$N32)</f>
        <v/>
      </c>
      <c r="W32" s="15">
        <f>IF(OR($L32="",$E32=""),"",MIN($L32,N($M32)+N($V32)*MIN(N($N32),MAX(0,((YEAR('Settings'!$B$6)-YEAR($E32))*12+MONTH('Settings'!$B$6)-MONTH($E32)-IF(DAY('Settings'!$B$6)&lt;DAY($E32),1,0))))))</f>
        <v/>
      </c>
      <c r="X32" s="15">
        <f>IF($L32="","",$L32-N($O32))</f>
        <v/>
      </c>
      <c r="Y32" s="15">
        <f>IF($W32="","",MAX(0,$W32-N($O32)))</f>
        <v/>
      </c>
      <c r="Z32" s="9">
        <f>IF(OR($A32="",$L32=""),"",IF($X32&lt;=0,"Paid in full",IF($Y32&lt;1,"On track",IF($Y32&lt;=$V32,"1 instalment behind","Behind"))))</f>
        <v/>
      </c>
      <c r="AA32" s="18">
        <f>IF($U32="Overdue",COUNTIF($U$3:$U32,"Overdue"),"")</f>
        <v/>
      </c>
    </row>
    <row r="33">
      <c r="A33" s="4" t="inlineStr">
        <is>
          <t>D-1389</t>
        </is>
      </c>
      <c r="B33" s="4" t="inlineStr">
        <is>
          <t>Alaa Yahya</t>
        </is>
      </c>
      <c r="C33" s="4" t="inlineStr">
        <is>
          <t>Dr Reem Al Otaibi</t>
        </is>
      </c>
      <c r="D33" s="4" t="inlineStr">
        <is>
          <t>Fixed, metal brackets</t>
        </is>
      </c>
      <c r="E33" s="5" t="n">
        <v>46160</v>
      </c>
      <c r="F33" s="6" t="n">
        <v>20</v>
      </c>
      <c r="G33" s="6" t="n">
        <v>6</v>
      </c>
      <c r="H33" s="5" t="n">
        <v>46257</v>
      </c>
      <c r="I33" s="5" t="n">
        <v>46297</v>
      </c>
      <c r="J33" s="6" t="n"/>
      <c r="K33" s="6" t="n"/>
      <c r="L33" s="14" t="n">
        <v>9000</v>
      </c>
      <c r="M33" s="14" t="n">
        <v>2200</v>
      </c>
      <c r="N33" s="6" t="n">
        <v>18</v>
      </c>
      <c r="O33" s="14" t="n">
        <v>3500</v>
      </c>
      <c r="P33" s="4" t="inlineStr">
        <is>
          <t>Active</t>
        </is>
      </c>
      <c r="Q33" s="15">
        <f>IF($E33="","",ROUND(('Settings'!$B$6-$E33)/30.4375,1))</f>
        <v/>
      </c>
      <c r="R33" s="16">
        <f>IF(OR($E33="",N($F33)=0),"",$Q33/$F33)</f>
        <v/>
      </c>
      <c r="S33" s="16">
        <f>IF(N($K33)=0,"",N($J33)/$K33)</f>
        <v/>
      </c>
      <c r="T33" s="17">
        <f>IF(OR($H33="",$G33=""),"",$H33+$G33*7)</f>
        <v/>
      </c>
      <c r="U33" s="9">
        <f>IF(OR($A33="",NOT(OR($P33="Active",$P33="Retention"))),"",IF(AND($I33&lt;&gt;"",$I33&gt;='Settings'!$B$6),"Booked",IF($T33="","",IF('Settings'!$B$6&gt;$T33+'Settings'!$B$7,"Overdue",IF($T33&lt;='Settings'!$B$6+7,"Due this week","On schedule")))))</f>
        <v/>
      </c>
      <c r="V33" s="15">
        <f>IF(OR($L33="",N($N33)=0),"",($L33-N($M33))/$N33)</f>
        <v/>
      </c>
      <c r="W33" s="15">
        <f>IF(OR($L33="",$E33=""),"",MIN($L33,N($M33)+N($V33)*MIN(N($N33),MAX(0,((YEAR('Settings'!$B$6)-YEAR($E33))*12+MONTH('Settings'!$B$6)-MONTH($E33)-IF(DAY('Settings'!$B$6)&lt;DAY($E33),1,0))))))</f>
        <v/>
      </c>
      <c r="X33" s="15">
        <f>IF($L33="","",$L33-N($O33))</f>
        <v/>
      </c>
      <c r="Y33" s="15">
        <f>IF($W33="","",MAX(0,$W33-N($O33)))</f>
        <v/>
      </c>
      <c r="Z33" s="9">
        <f>IF(OR($A33="",$L33=""),"",IF($X33&lt;=0,"Paid in full",IF($Y33&lt;1,"On track",IF($Y33&lt;=$V33,"1 instalment behind","Behind"))))</f>
        <v/>
      </c>
      <c r="AA33" s="18">
        <f>IF($U33="Overdue",COUNTIF($U$3:$U33,"Overdue"),"")</f>
        <v/>
      </c>
    </row>
    <row r="34">
      <c r="A34" s="4" t="inlineStr">
        <is>
          <t>D-1424</t>
        </is>
      </c>
      <c r="B34" s="4" t="inlineStr">
        <is>
          <t>Abdulmalik Al Asiri</t>
        </is>
      </c>
      <c r="C34" s="4" t="inlineStr">
        <is>
          <t>Dr Reem Al Otaibi</t>
        </is>
      </c>
      <c r="D34" s="4" t="inlineStr">
        <is>
          <t>Removable appliance</t>
        </is>
      </c>
      <c r="E34" s="5" t="n">
        <v>46190</v>
      </c>
      <c r="F34" s="6" t="n">
        <v>12</v>
      </c>
      <c r="G34" s="6" t="n">
        <v>6</v>
      </c>
      <c r="H34" s="5" t="n">
        <v>46284</v>
      </c>
      <c r="I34" s="5" t="n">
        <v>46294</v>
      </c>
      <c r="J34" s="6" t="n"/>
      <c r="K34" s="6" t="n"/>
      <c r="L34" s="14" t="n">
        <v>3500</v>
      </c>
      <c r="M34" s="14" t="n">
        <v>900</v>
      </c>
      <c r="N34" s="6" t="n">
        <v>6</v>
      </c>
      <c r="O34" s="14" t="n">
        <v>2200</v>
      </c>
      <c r="P34" s="4" t="inlineStr">
        <is>
          <t>Active</t>
        </is>
      </c>
      <c r="Q34" s="15">
        <f>IF($E34="","",ROUND(('Settings'!$B$6-$E34)/30.4375,1))</f>
        <v/>
      </c>
      <c r="R34" s="16">
        <f>IF(OR($E34="",N($F34)=0),"",$Q34/$F34)</f>
        <v/>
      </c>
      <c r="S34" s="16">
        <f>IF(N($K34)=0,"",N($J34)/$K34)</f>
        <v/>
      </c>
      <c r="T34" s="17">
        <f>IF(OR($H34="",$G34=""),"",$H34+$G34*7)</f>
        <v/>
      </c>
      <c r="U34" s="9">
        <f>IF(OR($A34="",NOT(OR($P34="Active",$P34="Retention"))),"",IF(AND($I34&lt;&gt;"",$I34&gt;='Settings'!$B$6),"Booked",IF($T34="","",IF('Settings'!$B$6&gt;$T34+'Settings'!$B$7,"Overdue",IF($T34&lt;='Settings'!$B$6+7,"Due this week","On schedule")))))</f>
        <v/>
      </c>
      <c r="V34" s="15">
        <f>IF(OR($L34="",N($N34)=0),"",($L34-N($M34))/$N34)</f>
        <v/>
      </c>
      <c r="W34" s="15">
        <f>IF(OR($L34="",$E34=""),"",MIN($L34,N($M34)+N($V34)*MIN(N($N34),MAX(0,((YEAR('Settings'!$B$6)-YEAR($E34))*12+MONTH('Settings'!$B$6)-MONTH($E34)-IF(DAY('Settings'!$B$6)&lt;DAY($E34),1,0))))))</f>
        <v/>
      </c>
      <c r="X34" s="15">
        <f>IF($L34="","",$L34-N($O34))</f>
        <v/>
      </c>
      <c r="Y34" s="15">
        <f>IF($W34="","",MAX(0,$W34-N($O34)))</f>
        <v/>
      </c>
      <c r="Z34" s="9">
        <f>IF(OR($A34="",$L34=""),"",IF($X34&lt;=0,"Paid in full",IF($Y34&lt;1,"On track",IF($Y34&lt;=$V34,"1 instalment behind","Behind"))))</f>
        <v/>
      </c>
      <c r="AA34" s="18">
        <f>IF($U34="Overdue",COUNTIF($U$3:$U34,"Overdue"),"")</f>
        <v/>
      </c>
    </row>
    <row r="35">
      <c r="A35" s="4" t="inlineStr">
        <is>
          <t>D-1410</t>
        </is>
      </c>
      <c r="B35" s="4" t="inlineStr">
        <is>
          <t>Saud Al Mutrafi</t>
        </is>
      </c>
      <c r="C35" s="4" t="inlineStr">
        <is>
          <t>Dr Reem Al Otaibi</t>
        </is>
      </c>
      <c r="D35" s="4" t="inlineStr">
        <is>
          <t>Clear aligners</t>
        </is>
      </c>
      <c r="E35" s="5" t="n">
        <v>46218</v>
      </c>
      <c r="F35" s="6" t="n">
        <v>12</v>
      </c>
      <c r="G35" s="6" t="n">
        <v>8</v>
      </c>
      <c r="H35" s="5" t="n">
        <v>46252</v>
      </c>
      <c r="I35" s="5" t="n">
        <v>46308</v>
      </c>
      <c r="J35" s="6" t="n">
        <v>7</v>
      </c>
      <c r="K35" s="6" t="n">
        <v>38</v>
      </c>
      <c r="L35" s="14" t="n">
        <v>16000</v>
      </c>
      <c r="M35" s="14" t="n">
        <v>4000</v>
      </c>
      <c r="N35" s="6" t="n">
        <v>12</v>
      </c>
      <c r="O35" s="14" t="n">
        <v>6000</v>
      </c>
      <c r="P35" s="4" t="inlineStr">
        <is>
          <t>Active</t>
        </is>
      </c>
      <c r="Q35" s="15">
        <f>IF($E35="","",ROUND(('Settings'!$B$6-$E35)/30.4375,1))</f>
        <v/>
      </c>
      <c r="R35" s="16">
        <f>IF(OR($E35="",N($F35)=0),"",$Q35/$F35)</f>
        <v/>
      </c>
      <c r="S35" s="16">
        <f>IF(N($K35)=0,"",N($J35)/$K35)</f>
        <v/>
      </c>
      <c r="T35" s="17">
        <f>IF(OR($H35="",$G35=""),"",$H35+$G35*7)</f>
        <v/>
      </c>
      <c r="U35" s="9">
        <f>IF(OR($A35="",NOT(OR($P35="Active",$P35="Retention"))),"",IF(AND($I35&lt;&gt;"",$I35&gt;='Settings'!$B$6),"Booked",IF($T35="","",IF('Settings'!$B$6&gt;$T35+'Settings'!$B$7,"Overdue",IF($T35&lt;='Settings'!$B$6+7,"Due this week","On schedule")))))</f>
        <v/>
      </c>
      <c r="V35" s="15">
        <f>IF(OR($L35="",N($N35)=0),"",($L35-N($M35))/$N35)</f>
        <v/>
      </c>
      <c r="W35" s="15">
        <f>IF(OR($L35="",$E35=""),"",MIN($L35,N($M35)+N($V35)*MIN(N($N35),MAX(0,((YEAR('Settings'!$B$6)-YEAR($E35))*12+MONTH('Settings'!$B$6)-MONTH($E35)-IF(DAY('Settings'!$B$6)&lt;DAY($E35),1,0))))))</f>
        <v/>
      </c>
      <c r="X35" s="15">
        <f>IF($L35="","",$L35-N($O35))</f>
        <v/>
      </c>
      <c r="Y35" s="15">
        <f>IF($W35="","",MAX(0,$W35-N($O35)))</f>
        <v/>
      </c>
      <c r="Z35" s="9">
        <f>IF(OR($A35="",$L35=""),"",IF($X35&lt;=0,"Paid in full",IF($Y35&lt;1,"On track",IF($Y35&lt;=$V35,"1 instalment behind","Behind"))))</f>
        <v/>
      </c>
      <c r="AA35" s="18">
        <f>IF($U35="Overdue",COUNTIF($U$3:$U35,"Overdue"),"")</f>
        <v/>
      </c>
    </row>
    <row r="36">
      <c r="A36" s="4" t="inlineStr">
        <is>
          <t>D-1445</t>
        </is>
      </c>
      <c r="B36" s="4" t="inlineStr">
        <is>
          <t>Maryam Al Kandari</t>
        </is>
      </c>
      <c r="C36" s="4" t="inlineStr">
        <is>
          <t>Dr Tarek Hamdy</t>
        </is>
      </c>
      <c r="D36" s="4" t="inlineStr">
        <is>
          <t>Clear aligners</t>
        </is>
      </c>
      <c r="E36" s="5" t="n">
        <v>46221</v>
      </c>
      <c r="F36" s="6" t="n">
        <v>16</v>
      </c>
      <c r="G36" s="6" t="n">
        <v>8</v>
      </c>
      <c r="H36" s="5" t="n">
        <v>46221</v>
      </c>
      <c r="I36" s="5" t="n"/>
      <c r="J36" s="6" t="n">
        <v>4</v>
      </c>
      <c r="K36" s="6" t="n">
        <v>34</v>
      </c>
      <c r="L36" s="14" t="n">
        <v>16500</v>
      </c>
      <c r="M36" s="14" t="n">
        <v>4100</v>
      </c>
      <c r="N36" s="6" t="n">
        <v>24</v>
      </c>
      <c r="O36" s="14" t="n">
        <v>4750</v>
      </c>
      <c r="P36" s="4" t="inlineStr">
        <is>
          <t>Active</t>
        </is>
      </c>
      <c r="Q36" s="15">
        <f>IF($E36="","",ROUND(('Settings'!$B$6-$E36)/30.4375,1))</f>
        <v/>
      </c>
      <c r="R36" s="16">
        <f>IF(OR($E36="",N($F36)=0),"",$Q36/$F36)</f>
        <v/>
      </c>
      <c r="S36" s="16">
        <f>IF(N($K36)=0,"",N($J36)/$K36)</f>
        <v/>
      </c>
      <c r="T36" s="17">
        <f>IF(OR($H36="",$G36=""),"",$H36+$G36*7)</f>
        <v/>
      </c>
      <c r="U36" s="9">
        <f>IF(OR($A36="",NOT(OR($P36="Active",$P36="Retention"))),"",IF(AND($I36&lt;&gt;"",$I36&gt;='Settings'!$B$6),"Booked",IF($T36="","",IF('Settings'!$B$6&gt;$T36+'Settings'!$B$7,"Overdue",IF($T36&lt;='Settings'!$B$6+7,"Due this week","On schedule")))))</f>
        <v/>
      </c>
      <c r="V36" s="15">
        <f>IF(OR($L36="",N($N36)=0),"",($L36-N($M36))/$N36)</f>
        <v/>
      </c>
      <c r="W36" s="15">
        <f>IF(OR($L36="",$E36=""),"",MIN($L36,N($M36)+N($V36)*MIN(N($N36),MAX(0,((YEAR('Settings'!$B$6)-YEAR($E36))*12+MONTH('Settings'!$B$6)-MONTH($E36)-IF(DAY('Settings'!$B$6)&lt;DAY($E36),1,0))))))</f>
        <v/>
      </c>
      <c r="X36" s="15">
        <f>IF($L36="","",$L36-N($O36))</f>
        <v/>
      </c>
      <c r="Y36" s="15">
        <f>IF($W36="","",MAX(0,$W36-N($O36)))</f>
        <v/>
      </c>
      <c r="Z36" s="9">
        <f>IF(OR($A36="",$L36=""),"",IF($X36&lt;=0,"Paid in full",IF($Y36&lt;1,"On track",IF($Y36&lt;=$V36,"1 instalment behind","Behind"))))</f>
        <v/>
      </c>
      <c r="AA36" s="18">
        <f>IF($U36="Overdue",COUNTIF($U$3:$U36,"Overdue"),"")</f>
        <v/>
      </c>
    </row>
    <row r="37">
      <c r="A37" s="4" t="inlineStr">
        <is>
          <t>D-1361</t>
        </is>
      </c>
      <c r="B37" s="4" t="inlineStr">
        <is>
          <t>Malak Al Ansari</t>
        </is>
      </c>
      <c r="C37" s="4" t="inlineStr">
        <is>
          <t>Dr Tarek Hamdy</t>
        </is>
      </c>
      <c r="D37" s="4" t="inlineStr">
        <is>
          <t>Clear aligners</t>
        </is>
      </c>
      <c r="E37" s="5" t="n">
        <v>46229</v>
      </c>
      <c r="F37" s="6" t="n">
        <v>14</v>
      </c>
      <c r="G37" s="6" t="n">
        <v>8</v>
      </c>
      <c r="H37" s="5" t="n">
        <v>46257</v>
      </c>
      <c r="I37" s="5" t="n">
        <v>46306</v>
      </c>
      <c r="J37" s="6" t="n">
        <v>6</v>
      </c>
      <c r="K37" s="6" t="n">
        <v>42</v>
      </c>
      <c r="L37" s="14" t="n">
        <v>15500</v>
      </c>
      <c r="M37" s="14" t="n">
        <v>4600</v>
      </c>
      <c r="N37" s="6" t="n">
        <v>18</v>
      </c>
      <c r="O37" s="14" t="n">
        <v>5850</v>
      </c>
      <c r="P37" s="4" t="inlineStr">
        <is>
          <t>Active</t>
        </is>
      </c>
      <c r="Q37" s="15">
        <f>IF($E37="","",ROUND(('Settings'!$B$6-$E37)/30.4375,1))</f>
        <v/>
      </c>
      <c r="R37" s="16">
        <f>IF(OR($E37="",N($F37)=0),"",$Q37/$F37)</f>
        <v/>
      </c>
      <c r="S37" s="16">
        <f>IF(N($K37)=0,"",N($J37)/$K37)</f>
        <v/>
      </c>
      <c r="T37" s="17">
        <f>IF(OR($H37="",$G37=""),"",$H37+$G37*7)</f>
        <v/>
      </c>
      <c r="U37" s="9">
        <f>IF(OR($A37="",NOT(OR($P37="Active",$P37="Retention"))),"",IF(AND($I37&lt;&gt;"",$I37&gt;='Settings'!$B$6),"Booked",IF($T37="","",IF('Settings'!$B$6&gt;$T37+'Settings'!$B$7,"Overdue",IF($T37&lt;='Settings'!$B$6+7,"Due this week","On schedule")))))</f>
        <v/>
      </c>
      <c r="V37" s="15">
        <f>IF(OR($L37="",N($N37)=0),"",($L37-N($M37))/$N37)</f>
        <v/>
      </c>
      <c r="W37" s="15">
        <f>IF(OR($L37="",$E37=""),"",MIN($L37,N($M37)+N($V37)*MIN(N($N37),MAX(0,((YEAR('Settings'!$B$6)-YEAR($E37))*12+MONTH('Settings'!$B$6)-MONTH($E37)-IF(DAY('Settings'!$B$6)&lt;DAY($E37),1,0))))))</f>
        <v/>
      </c>
      <c r="X37" s="15">
        <f>IF($L37="","",$L37-N($O37))</f>
        <v/>
      </c>
      <c r="Y37" s="15">
        <f>IF($W37="","",MAX(0,$W37-N($O37)))</f>
        <v/>
      </c>
      <c r="Z37" s="9">
        <f>IF(OR($A37="",$L37=""),"",IF($X37&lt;=0,"Paid in full",IF($Y37&lt;1,"On track",IF($Y37&lt;=$V37,"1 instalment behind","Behind"))))</f>
        <v/>
      </c>
      <c r="AA37" s="18">
        <f>IF($U37="Overdue",COUNTIF($U$3:$U37,"Overdue"),"")</f>
        <v/>
      </c>
    </row>
    <row r="38">
      <c r="A38" s="4" t="inlineStr">
        <is>
          <t>D-1417</t>
        </is>
      </c>
      <c r="B38" s="4" t="inlineStr">
        <is>
          <t>Yasmine Farouk</t>
        </is>
      </c>
      <c r="C38" s="4" t="inlineStr">
        <is>
          <t>Dr Reem Al Otaibi</t>
        </is>
      </c>
      <c r="D38" s="4" t="inlineStr">
        <is>
          <t>Removable appliance</t>
        </is>
      </c>
      <c r="E38" s="5" t="n">
        <v>46263</v>
      </c>
      <c r="F38" s="6" t="n">
        <v>12</v>
      </c>
      <c r="G38" s="6" t="n">
        <v>6</v>
      </c>
      <c r="H38" s="5" t="n">
        <v>46279</v>
      </c>
      <c r="I38" s="5" t="n">
        <v>46308</v>
      </c>
      <c r="J38" s="6" t="n"/>
      <c r="K38" s="6" t="n"/>
      <c r="L38" s="14" t="n">
        <v>3500</v>
      </c>
      <c r="M38" s="14" t="n">
        <v>700</v>
      </c>
      <c r="N38" s="6" t="n">
        <v>6</v>
      </c>
      <c r="O38" s="14" t="n">
        <v>700</v>
      </c>
      <c r="P38" s="4" t="inlineStr">
        <is>
          <t>Active</t>
        </is>
      </c>
      <c r="Q38" s="15">
        <f>IF($E38="","",ROUND(('Settings'!$B$6-$E38)/30.4375,1))</f>
        <v/>
      </c>
      <c r="R38" s="16">
        <f>IF(OR($E38="",N($F38)=0),"",$Q38/$F38)</f>
        <v/>
      </c>
      <c r="S38" s="16">
        <f>IF(N($K38)=0,"",N($J38)/$K38)</f>
        <v/>
      </c>
      <c r="T38" s="17">
        <f>IF(OR($H38="",$G38=""),"",$H38+$G38*7)</f>
        <v/>
      </c>
      <c r="U38" s="9">
        <f>IF(OR($A38="",NOT(OR($P38="Active",$P38="Retention"))),"",IF(AND($I38&lt;&gt;"",$I38&gt;='Settings'!$B$6),"Booked",IF($T38="","",IF('Settings'!$B$6&gt;$T38+'Settings'!$B$7,"Overdue",IF($T38&lt;='Settings'!$B$6+7,"Due this week","On schedule")))))</f>
        <v/>
      </c>
      <c r="V38" s="15">
        <f>IF(OR($L38="",N($N38)=0),"",($L38-N($M38))/$N38)</f>
        <v/>
      </c>
      <c r="W38" s="15">
        <f>IF(OR($L38="",$E38=""),"",MIN($L38,N($M38)+N($V38)*MIN(N($N38),MAX(0,((YEAR('Settings'!$B$6)-YEAR($E38))*12+MONTH('Settings'!$B$6)-MONTH($E38)-IF(DAY('Settings'!$B$6)&lt;DAY($E38),1,0))))))</f>
        <v/>
      </c>
      <c r="X38" s="15">
        <f>IF($L38="","",$L38-N($O38))</f>
        <v/>
      </c>
      <c r="Y38" s="15">
        <f>IF($W38="","",MAX(0,$W38-N($O38)))</f>
        <v/>
      </c>
      <c r="Z38" s="9">
        <f>IF(OR($A38="",$L38=""),"",IF($X38&lt;=0,"Paid in full",IF($Y38&lt;1,"On track",IF($Y38&lt;=$V38,"1 instalment behind","Behind"))))</f>
        <v/>
      </c>
      <c r="AA38" s="18">
        <f>IF($U38="Overdue",COUNTIF($U$3:$U38,"Overdue"),"")</f>
        <v/>
      </c>
    </row>
    <row r="39">
      <c r="A39" s="4" t="n"/>
      <c r="B39" s="4" t="n"/>
      <c r="C39" s="4" t="n"/>
      <c r="D39" s="4" t="n"/>
      <c r="E39" s="5" t="n"/>
      <c r="F39" s="6" t="n"/>
      <c r="G39" s="6" t="n"/>
      <c r="H39" s="5" t="n"/>
      <c r="I39" s="5" t="n"/>
      <c r="J39" s="6" t="n"/>
      <c r="K39" s="6" t="n"/>
      <c r="L39" s="14" t="n"/>
      <c r="M39" s="14" t="n"/>
      <c r="N39" s="6" t="n"/>
      <c r="O39" s="14" t="n"/>
      <c r="P39" s="4" t="n"/>
      <c r="Q39" s="15">
        <f>IF($E39="","",ROUND(('Settings'!$B$6-$E39)/30.4375,1))</f>
        <v/>
      </c>
      <c r="R39" s="16">
        <f>IF(OR($E39="",N($F39)=0),"",$Q39/$F39)</f>
        <v/>
      </c>
      <c r="S39" s="16">
        <f>IF(N($K39)=0,"",N($J39)/$K39)</f>
        <v/>
      </c>
      <c r="T39" s="17">
        <f>IF(OR($H39="",$G39=""),"",$H39+$G39*7)</f>
        <v/>
      </c>
      <c r="U39" s="9">
        <f>IF(OR($A39="",NOT(OR($P39="Active",$P39="Retention"))),"",IF(AND($I39&lt;&gt;"",$I39&gt;='Settings'!$B$6),"Booked",IF($T39="","",IF('Settings'!$B$6&gt;$T39+'Settings'!$B$7,"Overdue",IF($T39&lt;='Settings'!$B$6+7,"Due this week","On schedule")))))</f>
        <v/>
      </c>
      <c r="V39" s="15">
        <f>IF(OR($L39="",N($N39)=0),"",($L39-N($M39))/$N39)</f>
        <v/>
      </c>
      <c r="W39" s="15">
        <f>IF(OR($L39="",$E39=""),"",MIN($L39,N($M39)+N($V39)*MIN(N($N39),MAX(0,((YEAR('Settings'!$B$6)-YEAR($E39))*12+MONTH('Settings'!$B$6)-MONTH($E39)-IF(DAY('Settings'!$B$6)&lt;DAY($E39),1,0))))))</f>
        <v/>
      </c>
      <c r="X39" s="15">
        <f>IF($L39="","",$L39-N($O39))</f>
        <v/>
      </c>
      <c r="Y39" s="15">
        <f>IF($W39="","",MAX(0,$W39-N($O39)))</f>
        <v/>
      </c>
      <c r="Z39" s="9">
        <f>IF(OR($A39="",$L39=""),"",IF($X39&lt;=0,"Paid in full",IF($Y39&lt;1,"On track",IF($Y39&lt;=$V39,"1 instalment behind","Behind"))))</f>
        <v/>
      </c>
      <c r="AA39" s="18">
        <f>IF($U39="Overdue",COUNTIF($U$3:$U39,"Overdue"),"")</f>
        <v/>
      </c>
    </row>
    <row r="40">
      <c r="A40" s="4" t="n"/>
      <c r="B40" s="4" t="n"/>
      <c r="C40" s="4" t="n"/>
      <c r="D40" s="4" t="n"/>
      <c r="E40" s="5" t="n"/>
      <c r="F40" s="6" t="n"/>
      <c r="G40" s="6" t="n"/>
      <c r="H40" s="5" t="n"/>
      <c r="I40" s="5" t="n"/>
      <c r="J40" s="6" t="n"/>
      <c r="K40" s="6" t="n"/>
      <c r="L40" s="14" t="n"/>
      <c r="M40" s="14" t="n"/>
      <c r="N40" s="6" t="n"/>
      <c r="O40" s="14" t="n"/>
      <c r="P40" s="4" t="n"/>
      <c r="Q40" s="15">
        <f>IF($E40="","",ROUND(('Settings'!$B$6-$E40)/30.4375,1))</f>
        <v/>
      </c>
      <c r="R40" s="16">
        <f>IF(OR($E40="",N($F40)=0),"",$Q40/$F40)</f>
        <v/>
      </c>
      <c r="S40" s="16">
        <f>IF(N($K40)=0,"",N($J40)/$K40)</f>
        <v/>
      </c>
      <c r="T40" s="17">
        <f>IF(OR($H40="",$G40=""),"",$H40+$G40*7)</f>
        <v/>
      </c>
      <c r="U40" s="9">
        <f>IF(OR($A40="",NOT(OR($P40="Active",$P40="Retention"))),"",IF(AND($I40&lt;&gt;"",$I40&gt;='Settings'!$B$6),"Booked",IF($T40="","",IF('Settings'!$B$6&gt;$T40+'Settings'!$B$7,"Overdue",IF($T40&lt;='Settings'!$B$6+7,"Due this week","On schedule")))))</f>
        <v/>
      </c>
      <c r="V40" s="15">
        <f>IF(OR($L40="",N($N40)=0),"",($L40-N($M40))/$N40)</f>
        <v/>
      </c>
      <c r="W40" s="15">
        <f>IF(OR($L40="",$E40=""),"",MIN($L40,N($M40)+N($V40)*MIN(N($N40),MAX(0,((YEAR('Settings'!$B$6)-YEAR($E40))*12+MONTH('Settings'!$B$6)-MONTH($E40)-IF(DAY('Settings'!$B$6)&lt;DAY($E40),1,0))))))</f>
        <v/>
      </c>
      <c r="X40" s="15">
        <f>IF($L40="","",$L40-N($O40))</f>
        <v/>
      </c>
      <c r="Y40" s="15">
        <f>IF($W40="","",MAX(0,$W40-N($O40)))</f>
        <v/>
      </c>
      <c r="Z40" s="9">
        <f>IF(OR($A40="",$L40=""),"",IF($X40&lt;=0,"Paid in full",IF($Y40&lt;1,"On track",IF($Y40&lt;=$V40,"1 instalment behind","Behind"))))</f>
        <v/>
      </c>
      <c r="AA40" s="18">
        <f>IF($U40="Overdue",COUNTIF($U$3:$U40,"Overdue"),"")</f>
        <v/>
      </c>
    </row>
    <row r="41">
      <c r="A41" s="4" t="n"/>
      <c r="B41" s="4" t="n"/>
      <c r="C41" s="4" t="n"/>
      <c r="D41" s="4" t="n"/>
      <c r="E41" s="5" t="n"/>
      <c r="F41" s="6" t="n"/>
      <c r="G41" s="6" t="n"/>
      <c r="H41" s="5" t="n"/>
      <c r="I41" s="5" t="n"/>
      <c r="J41" s="6" t="n"/>
      <c r="K41" s="6" t="n"/>
      <c r="L41" s="14" t="n"/>
      <c r="M41" s="14" t="n"/>
      <c r="N41" s="6" t="n"/>
      <c r="O41" s="14" t="n"/>
      <c r="P41" s="4" t="n"/>
      <c r="Q41" s="15">
        <f>IF($E41="","",ROUND(('Settings'!$B$6-$E41)/30.4375,1))</f>
        <v/>
      </c>
      <c r="R41" s="16">
        <f>IF(OR($E41="",N($F41)=0),"",$Q41/$F41)</f>
        <v/>
      </c>
      <c r="S41" s="16">
        <f>IF(N($K41)=0,"",N($J41)/$K41)</f>
        <v/>
      </c>
      <c r="T41" s="17">
        <f>IF(OR($H41="",$G41=""),"",$H41+$G41*7)</f>
        <v/>
      </c>
      <c r="U41" s="9">
        <f>IF(OR($A41="",NOT(OR($P41="Active",$P41="Retention"))),"",IF(AND($I41&lt;&gt;"",$I41&gt;='Settings'!$B$6),"Booked",IF($T41="","",IF('Settings'!$B$6&gt;$T41+'Settings'!$B$7,"Overdue",IF($T41&lt;='Settings'!$B$6+7,"Due this week","On schedule")))))</f>
        <v/>
      </c>
      <c r="V41" s="15">
        <f>IF(OR($L41="",N($N41)=0),"",($L41-N($M41))/$N41)</f>
        <v/>
      </c>
      <c r="W41" s="15">
        <f>IF(OR($L41="",$E41=""),"",MIN($L41,N($M41)+N($V41)*MIN(N($N41),MAX(0,((YEAR('Settings'!$B$6)-YEAR($E41))*12+MONTH('Settings'!$B$6)-MONTH($E41)-IF(DAY('Settings'!$B$6)&lt;DAY($E41),1,0))))))</f>
        <v/>
      </c>
      <c r="X41" s="15">
        <f>IF($L41="","",$L41-N($O41))</f>
        <v/>
      </c>
      <c r="Y41" s="15">
        <f>IF($W41="","",MAX(0,$W41-N($O41)))</f>
        <v/>
      </c>
      <c r="Z41" s="9">
        <f>IF(OR($A41="",$L41=""),"",IF($X41&lt;=0,"Paid in full",IF($Y41&lt;1,"On track",IF($Y41&lt;=$V41,"1 instalment behind","Behind"))))</f>
        <v/>
      </c>
      <c r="AA41" s="18">
        <f>IF($U41="Overdue",COUNTIF($U$3:$U41,"Overdue"),"")</f>
        <v/>
      </c>
    </row>
    <row r="42">
      <c r="A42" s="4" t="n"/>
      <c r="B42" s="4" t="n"/>
      <c r="C42" s="4" t="n"/>
      <c r="D42" s="4" t="n"/>
      <c r="E42" s="5" t="n"/>
      <c r="F42" s="6" t="n"/>
      <c r="G42" s="6" t="n"/>
      <c r="H42" s="5" t="n"/>
      <c r="I42" s="5" t="n"/>
      <c r="J42" s="6" t="n"/>
      <c r="K42" s="6" t="n"/>
      <c r="L42" s="14" t="n"/>
      <c r="M42" s="14" t="n"/>
      <c r="N42" s="6" t="n"/>
      <c r="O42" s="14" t="n"/>
      <c r="P42" s="4" t="n"/>
      <c r="Q42" s="15">
        <f>IF($E42="","",ROUND(('Settings'!$B$6-$E42)/30.4375,1))</f>
        <v/>
      </c>
      <c r="R42" s="16">
        <f>IF(OR($E42="",N($F42)=0),"",$Q42/$F42)</f>
        <v/>
      </c>
      <c r="S42" s="16">
        <f>IF(N($K42)=0,"",N($J42)/$K42)</f>
        <v/>
      </c>
      <c r="T42" s="17">
        <f>IF(OR($H42="",$G42=""),"",$H42+$G42*7)</f>
        <v/>
      </c>
      <c r="U42" s="9">
        <f>IF(OR($A42="",NOT(OR($P42="Active",$P42="Retention"))),"",IF(AND($I42&lt;&gt;"",$I42&gt;='Settings'!$B$6),"Booked",IF($T42="","",IF('Settings'!$B$6&gt;$T42+'Settings'!$B$7,"Overdue",IF($T42&lt;='Settings'!$B$6+7,"Due this week","On schedule")))))</f>
        <v/>
      </c>
      <c r="V42" s="15">
        <f>IF(OR($L42="",N($N42)=0),"",($L42-N($M42))/$N42)</f>
        <v/>
      </c>
      <c r="W42" s="15">
        <f>IF(OR($L42="",$E42=""),"",MIN($L42,N($M42)+N($V42)*MIN(N($N42),MAX(0,((YEAR('Settings'!$B$6)-YEAR($E42))*12+MONTH('Settings'!$B$6)-MONTH($E42)-IF(DAY('Settings'!$B$6)&lt;DAY($E42),1,0))))))</f>
        <v/>
      </c>
      <c r="X42" s="15">
        <f>IF($L42="","",$L42-N($O42))</f>
        <v/>
      </c>
      <c r="Y42" s="15">
        <f>IF($W42="","",MAX(0,$W42-N($O42)))</f>
        <v/>
      </c>
      <c r="Z42" s="9">
        <f>IF(OR($A42="",$L42=""),"",IF($X42&lt;=0,"Paid in full",IF($Y42&lt;1,"On track",IF($Y42&lt;=$V42,"1 instalment behind","Behind"))))</f>
        <v/>
      </c>
      <c r="AA42" s="18">
        <f>IF($U42="Overdue",COUNTIF($U$3:$U42,"Overdue"),"")</f>
        <v/>
      </c>
    </row>
    <row r="43">
      <c r="A43" s="4" t="n"/>
      <c r="B43" s="4" t="n"/>
      <c r="C43" s="4" t="n"/>
      <c r="D43" s="4" t="n"/>
      <c r="E43" s="5" t="n"/>
      <c r="F43" s="6" t="n"/>
      <c r="G43" s="6" t="n"/>
      <c r="H43" s="5" t="n"/>
      <c r="I43" s="5" t="n"/>
      <c r="J43" s="6" t="n"/>
      <c r="K43" s="6" t="n"/>
      <c r="L43" s="14" t="n"/>
      <c r="M43" s="14" t="n"/>
      <c r="N43" s="6" t="n"/>
      <c r="O43" s="14" t="n"/>
      <c r="P43" s="4" t="n"/>
      <c r="Q43" s="15">
        <f>IF($E43="","",ROUND(('Settings'!$B$6-$E43)/30.4375,1))</f>
        <v/>
      </c>
      <c r="R43" s="16">
        <f>IF(OR($E43="",N($F43)=0),"",$Q43/$F43)</f>
        <v/>
      </c>
      <c r="S43" s="16">
        <f>IF(N($K43)=0,"",N($J43)/$K43)</f>
        <v/>
      </c>
      <c r="T43" s="17">
        <f>IF(OR($H43="",$G43=""),"",$H43+$G43*7)</f>
        <v/>
      </c>
      <c r="U43" s="9">
        <f>IF(OR($A43="",NOT(OR($P43="Active",$P43="Retention"))),"",IF(AND($I43&lt;&gt;"",$I43&gt;='Settings'!$B$6),"Booked",IF($T43="","",IF('Settings'!$B$6&gt;$T43+'Settings'!$B$7,"Overdue",IF($T43&lt;='Settings'!$B$6+7,"Due this week","On schedule")))))</f>
        <v/>
      </c>
      <c r="V43" s="15">
        <f>IF(OR($L43="",N($N43)=0),"",($L43-N($M43))/$N43)</f>
        <v/>
      </c>
      <c r="W43" s="15">
        <f>IF(OR($L43="",$E43=""),"",MIN($L43,N($M43)+N($V43)*MIN(N($N43),MAX(0,((YEAR('Settings'!$B$6)-YEAR($E43))*12+MONTH('Settings'!$B$6)-MONTH($E43)-IF(DAY('Settings'!$B$6)&lt;DAY($E43),1,0))))))</f>
        <v/>
      </c>
      <c r="X43" s="15">
        <f>IF($L43="","",$L43-N($O43))</f>
        <v/>
      </c>
      <c r="Y43" s="15">
        <f>IF($W43="","",MAX(0,$W43-N($O43)))</f>
        <v/>
      </c>
      <c r="Z43" s="9">
        <f>IF(OR($A43="",$L43=""),"",IF($X43&lt;=0,"Paid in full",IF($Y43&lt;1,"On track",IF($Y43&lt;=$V43,"1 instalment behind","Behind"))))</f>
        <v/>
      </c>
      <c r="AA43" s="18">
        <f>IF($U43="Overdue",COUNTIF($U$3:$U43,"Overdue"),"")</f>
        <v/>
      </c>
    </row>
    <row r="44">
      <c r="A44" s="4" t="n"/>
      <c r="B44" s="4" t="n"/>
      <c r="C44" s="4" t="n"/>
      <c r="D44" s="4" t="n"/>
      <c r="E44" s="5" t="n"/>
      <c r="F44" s="6" t="n"/>
      <c r="G44" s="6" t="n"/>
      <c r="H44" s="5" t="n"/>
      <c r="I44" s="5" t="n"/>
      <c r="J44" s="6" t="n"/>
      <c r="K44" s="6" t="n"/>
      <c r="L44" s="14" t="n"/>
      <c r="M44" s="14" t="n"/>
      <c r="N44" s="6" t="n"/>
      <c r="O44" s="14" t="n"/>
      <c r="P44" s="4" t="n"/>
      <c r="Q44" s="15">
        <f>IF($E44="","",ROUND(('Settings'!$B$6-$E44)/30.4375,1))</f>
        <v/>
      </c>
      <c r="R44" s="16">
        <f>IF(OR($E44="",N($F44)=0),"",$Q44/$F44)</f>
        <v/>
      </c>
      <c r="S44" s="16">
        <f>IF(N($K44)=0,"",N($J44)/$K44)</f>
        <v/>
      </c>
      <c r="T44" s="17">
        <f>IF(OR($H44="",$G44=""),"",$H44+$G44*7)</f>
        <v/>
      </c>
      <c r="U44" s="9">
        <f>IF(OR($A44="",NOT(OR($P44="Active",$P44="Retention"))),"",IF(AND($I44&lt;&gt;"",$I44&gt;='Settings'!$B$6),"Booked",IF($T44="","",IF('Settings'!$B$6&gt;$T44+'Settings'!$B$7,"Overdue",IF($T44&lt;='Settings'!$B$6+7,"Due this week","On schedule")))))</f>
        <v/>
      </c>
      <c r="V44" s="15">
        <f>IF(OR($L44="",N($N44)=0),"",($L44-N($M44))/$N44)</f>
        <v/>
      </c>
      <c r="W44" s="15">
        <f>IF(OR($L44="",$E44=""),"",MIN($L44,N($M44)+N($V44)*MIN(N($N44),MAX(0,((YEAR('Settings'!$B$6)-YEAR($E44))*12+MONTH('Settings'!$B$6)-MONTH($E44)-IF(DAY('Settings'!$B$6)&lt;DAY($E44),1,0))))))</f>
        <v/>
      </c>
      <c r="X44" s="15">
        <f>IF($L44="","",$L44-N($O44))</f>
        <v/>
      </c>
      <c r="Y44" s="15">
        <f>IF($W44="","",MAX(0,$W44-N($O44)))</f>
        <v/>
      </c>
      <c r="Z44" s="9">
        <f>IF(OR($A44="",$L44=""),"",IF($X44&lt;=0,"Paid in full",IF($Y44&lt;1,"On track",IF($Y44&lt;=$V44,"1 instalment behind","Behind"))))</f>
        <v/>
      </c>
      <c r="AA44" s="18">
        <f>IF($U44="Overdue",COUNTIF($U$3:$U44,"Overdue"),"")</f>
        <v/>
      </c>
    </row>
    <row r="45">
      <c r="A45" s="4" t="n"/>
      <c r="B45" s="4" t="n"/>
      <c r="C45" s="4" t="n"/>
      <c r="D45" s="4" t="n"/>
      <c r="E45" s="5" t="n"/>
      <c r="F45" s="6" t="n"/>
      <c r="G45" s="6" t="n"/>
      <c r="H45" s="5" t="n"/>
      <c r="I45" s="5" t="n"/>
      <c r="J45" s="6" t="n"/>
      <c r="K45" s="6" t="n"/>
      <c r="L45" s="14" t="n"/>
      <c r="M45" s="14" t="n"/>
      <c r="N45" s="6" t="n"/>
      <c r="O45" s="14" t="n"/>
      <c r="P45" s="4" t="n"/>
      <c r="Q45" s="15">
        <f>IF($E45="","",ROUND(('Settings'!$B$6-$E45)/30.4375,1))</f>
        <v/>
      </c>
      <c r="R45" s="16">
        <f>IF(OR($E45="",N($F45)=0),"",$Q45/$F45)</f>
        <v/>
      </c>
      <c r="S45" s="16">
        <f>IF(N($K45)=0,"",N($J45)/$K45)</f>
        <v/>
      </c>
      <c r="T45" s="17">
        <f>IF(OR($H45="",$G45=""),"",$H45+$G45*7)</f>
        <v/>
      </c>
      <c r="U45" s="9">
        <f>IF(OR($A45="",NOT(OR($P45="Active",$P45="Retention"))),"",IF(AND($I45&lt;&gt;"",$I45&gt;='Settings'!$B$6),"Booked",IF($T45="","",IF('Settings'!$B$6&gt;$T45+'Settings'!$B$7,"Overdue",IF($T45&lt;='Settings'!$B$6+7,"Due this week","On schedule")))))</f>
        <v/>
      </c>
      <c r="V45" s="15">
        <f>IF(OR($L45="",N($N45)=0),"",($L45-N($M45))/$N45)</f>
        <v/>
      </c>
      <c r="W45" s="15">
        <f>IF(OR($L45="",$E45=""),"",MIN($L45,N($M45)+N($V45)*MIN(N($N45),MAX(0,((YEAR('Settings'!$B$6)-YEAR($E45))*12+MONTH('Settings'!$B$6)-MONTH($E45)-IF(DAY('Settings'!$B$6)&lt;DAY($E45),1,0))))))</f>
        <v/>
      </c>
      <c r="X45" s="15">
        <f>IF($L45="","",$L45-N($O45))</f>
        <v/>
      </c>
      <c r="Y45" s="15">
        <f>IF($W45="","",MAX(0,$W45-N($O45)))</f>
        <v/>
      </c>
      <c r="Z45" s="9">
        <f>IF(OR($A45="",$L45=""),"",IF($X45&lt;=0,"Paid in full",IF($Y45&lt;1,"On track",IF($Y45&lt;=$V45,"1 instalment behind","Behind"))))</f>
        <v/>
      </c>
      <c r="AA45" s="18">
        <f>IF($U45="Overdue",COUNTIF($U$3:$U45,"Overdue"),"")</f>
        <v/>
      </c>
    </row>
    <row r="46">
      <c r="A46" s="4" t="n"/>
      <c r="B46" s="4" t="n"/>
      <c r="C46" s="4" t="n"/>
      <c r="D46" s="4" t="n"/>
      <c r="E46" s="5" t="n"/>
      <c r="F46" s="6" t="n"/>
      <c r="G46" s="6" t="n"/>
      <c r="H46" s="5" t="n"/>
      <c r="I46" s="5" t="n"/>
      <c r="J46" s="6" t="n"/>
      <c r="K46" s="6" t="n"/>
      <c r="L46" s="14" t="n"/>
      <c r="M46" s="14" t="n"/>
      <c r="N46" s="6" t="n"/>
      <c r="O46" s="14" t="n"/>
      <c r="P46" s="4" t="n"/>
      <c r="Q46" s="15">
        <f>IF($E46="","",ROUND(('Settings'!$B$6-$E46)/30.4375,1))</f>
        <v/>
      </c>
      <c r="R46" s="16">
        <f>IF(OR($E46="",N($F46)=0),"",$Q46/$F46)</f>
        <v/>
      </c>
      <c r="S46" s="16">
        <f>IF(N($K46)=0,"",N($J46)/$K46)</f>
        <v/>
      </c>
      <c r="T46" s="17">
        <f>IF(OR($H46="",$G46=""),"",$H46+$G46*7)</f>
        <v/>
      </c>
      <c r="U46" s="9">
        <f>IF(OR($A46="",NOT(OR($P46="Active",$P46="Retention"))),"",IF(AND($I46&lt;&gt;"",$I46&gt;='Settings'!$B$6),"Booked",IF($T46="","",IF('Settings'!$B$6&gt;$T46+'Settings'!$B$7,"Overdue",IF($T46&lt;='Settings'!$B$6+7,"Due this week","On schedule")))))</f>
        <v/>
      </c>
      <c r="V46" s="15">
        <f>IF(OR($L46="",N($N46)=0),"",($L46-N($M46))/$N46)</f>
        <v/>
      </c>
      <c r="W46" s="15">
        <f>IF(OR($L46="",$E46=""),"",MIN($L46,N($M46)+N($V46)*MIN(N($N46),MAX(0,((YEAR('Settings'!$B$6)-YEAR($E46))*12+MONTH('Settings'!$B$6)-MONTH($E46)-IF(DAY('Settings'!$B$6)&lt;DAY($E46),1,0))))))</f>
        <v/>
      </c>
      <c r="X46" s="15">
        <f>IF($L46="","",$L46-N($O46))</f>
        <v/>
      </c>
      <c r="Y46" s="15">
        <f>IF($W46="","",MAX(0,$W46-N($O46)))</f>
        <v/>
      </c>
      <c r="Z46" s="9">
        <f>IF(OR($A46="",$L46=""),"",IF($X46&lt;=0,"Paid in full",IF($Y46&lt;1,"On track",IF($Y46&lt;=$V46,"1 instalment behind","Behind"))))</f>
        <v/>
      </c>
      <c r="AA46" s="18">
        <f>IF($U46="Overdue",COUNTIF($U$3:$U46,"Overdue"),"")</f>
        <v/>
      </c>
    </row>
    <row r="47">
      <c r="A47" s="4" t="n"/>
      <c r="B47" s="4" t="n"/>
      <c r="C47" s="4" t="n"/>
      <c r="D47" s="4" t="n"/>
      <c r="E47" s="5" t="n"/>
      <c r="F47" s="6" t="n"/>
      <c r="G47" s="6" t="n"/>
      <c r="H47" s="5" t="n"/>
      <c r="I47" s="5" t="n"/>
      <c r="J47" s="6" t="n"/>
      <c r="K47" s="6" t="n"/>
      <c r="L47" s="14" t="n"/>
      <c r="M47" s="14" t="n"/>
      <c r="N47" s="6" t="n"/>
      <c r="O47" s="14" t="n"/>
      <c r="P47" s="4" t="n"/>
      <c r="Q47" s="15">
        <f>IF($E47="","",ROUND(('Settings'!$B$6-$E47)/30.4375,1))</f>
        <v/>
      </c>
      <c r="R47" s="16">
        <f>IF(OR($E47="",N($F47)=0),"",$Q47/$F47)</f>
        <v/>
      </c>
      <c r="S47" s="16">
        <f>IF(N($K47)=0,"",N($J47)/$K47)</f>
        <v/>
      </c>
      <c r="T47" s="17">
        <f>IF(OR($H47="",$G47=""),"",$H47+$G47*7)</f>
        <v/>
      </c>
      <c r="U47" s="9">
        <f>IF(OR($A47="",NOT(OR($P47="Active",$P47="Retention"))),"",IF(AND($I47&lt;&gt;"",$I47&gt;='Settings'!$B$6),"Booked",IF($T47="","",IF('Settings'!$B$6&gt;$T47+'Settings'!$B$7,"Overdue",IF($T47&lt;='Settings'!$B$6+7,"Due this week","On schedule")))))</f>
        <v/>
      </c>
      <c r="V47" s="15">
        <f>IF(OR($L47="",N($N47)=0),"",($L47-N($M47))/$N47)</f>
        <v/>
      </c>
      <c r="W47" s="15">
        <f>IF(OR($L47="",$E47=""),"",MIN($L47,N($M47)+N($V47)*MIN(N($N47),MAX(0,((YEAR('Settings'!$B$6)-YEAR($E47))*12+MONTH('Settings'!$B$6)-MONTH($E47)-IF(DAY('Settings'!$B$6)&lt;DAY($E47),1,0))))))</f>
        <v/>
      </c>
      <c r="X47" s="15">
        <f>IF($L47="","",$L47-N($O47))</f>
        <v/>
      </c>
      <c r="Y47" s="15">
        <f>IF($W47="","",MAX(0,$W47-N($O47)))</f>
        <v/>
      </c>
      <c r="Z47" s="9">
        <f>IF(OR($A47="",$L47=""),"",IF($X47&lt;=0,"Paid in full",IF($Y47&lt;1,"On track",IF($Y47&lt;=$V47,"1 instalment behind","Behind"))))</f>
        <v/>
      </c>
      <c r="AA47" s="18">
        <f>IF($U47="Overdue",COUNTIF($U$3:$U47,"Overdue"),"")</f>
        <v/>
      </c>
    </row>
    <row r="48">
      <c r="A48" s="4" t="n"/>
      <c r="B48" s="4" t="n"/>
      <c r="C48" s="4" t="n"/>
      <c r="D48" s="4" t="n"/>
      <c r="E48" s="5" t="n"/>
      <c r="F48" s="6" t="n"/>
      <c r="G48" s="6" t="n"/>
      <c r="H48" s="5" t="n"/>
      <c r="I48" s="5" t="n"/>
      <c r="J48" s="6" t="n"/>
      <c r="K48" s="6" t="n"/>
      <c r="L48" s="14" t="n"/>
      <c r="M48" s="14" t="n"/>
      <c r="N48" s="6" t="n"/>
      <c r="O48" s="14" t="n"/>
      <c r="P48" s="4" t="n"/>
      <c r="Q48" s="15">
        <f>IF($E48="","",ROUND(('Settings'!$B$6-$E48)/30.4375,1))</f>
        <v/>
      </c>
      <c r="R48" s="16">
        <f>IF(OR($E48="",N($F48)=0),"",$Q48/$F48)</f>
        <v/>
      </c>
      <c r="S48" s="16">
        <f>IF(N($K48)=0,"",N($J48)/$K48)</f>
        <v/>
      </c>
      <c r="T48" s="17">
        <f>IF(OR($H48="",$G48=""),"",$H48+$G48*7)</f>
        <v/>
      </c>
      <c r="U48" s="9">
        <f>IF(OR($A48="",NOT(OR($P48="Active",$P48="Retention"))),"",IF(AND($I48&lt;&gt;"",$I48&gt;='Settings'!$B$6),"Booked",IF($T48="","",IF('Settings'!$B$6&gt;$T48+'Settings'!$B$7,"Overdue",IF($T48&lt;='Settings'!$B$6+7,"Due this week","On schedule")))))</f>
        <v/>
      </c>
      <c r="V48" s="15">
        <f>IF(OR($L48="",N($N48)=0),"",($L48-N($M48))/$N48)</f>
        <v/>
      </c>
      <c r="W48" s="15">
        <f>IF(OR($L48="",$E48=""),"",MIN($L48,N($M48)+N($V48)*MIN(N($N48),MAX(0,((YEAR('Settings'!$B$6)-YEAR($E48))*12+MONTH('Settings'!$B$6)-MONTH($E48)-IF(DAY('Settings'!$B$6)&lt;DAY($E48),1,0))))))</f>
        <v/>
      </c>
      <c r="X48" s="15">
        <f>IF($L48="","",$L48-N($O48))</f>
        <v/>
      </c>
      <c r="Y48" s="15">
        <f>IF($W48="","",MAX(0,$W48-N($O48)))</f>
        <v/>
      </c>
      <c r="Z48" s="9">
        <f>IF(OR($A48="",$L48=""),"",IF($X48&lt;=0,"Paid in full",IF($Y48&lt;1,"On track",IF($Y48&lt;=$V48,"1 instalment behind","Behind"))))</f>
        <v/>
      </c>
      <c r="AA48" s="18">
        <f>IF($U48="Overdue",COUNTIF($U$3:$U48,"Overdue"),"")</f>
        <v/>
      </c>
    </row>
    <row r="49">
      <c r="A49" s="4" t="n"/>
      <c r="B49" s="4" t="n"/>
      <c r="C49" s="4" t="n"/>
      <c r="D49" s="4" t="n"/>
      <c r="E49" s="5" t="n"/>
      <c r="F49" s="6" t="n"/>
      <c r="G49" s="6" t="n"/>
      <c r="H49" s="5" t="n"/>
      <c r="I49" s="5" t="n"/>
      <c r="J49" s="6" t="n"/>
      <c r="K49" s="6" t="n"/>
      <c r="L49" s="14" t="n"/>
      <c r="M49" s="14" t="n"/>
      <c r="N49" s="6" t="n"/>
      <c r="O49" s="14" t="n"/>
      <c r="P49" s="4" t="n"/>
      <c r="Q49" s="15">
        <f>IF($E49="","",ROUND(('Settings'!$B$6-$E49)/30.4375,1))</f>
        <v/>
      </c>
      <c r="R49" s="16">
        <f>IF(OR($E49="",N($F49)=0),"",$Q49/$F49)</f>
        <v/>
      </c>
      <c r="S49" s="16">
        <f>IF(N($K49)=0,"",N($J49)/$K49)</f>
        <v/>
      </c>
      <c r="T49" s="17">
        <f>IF(OR($H49="",$G49=""),"",$H49+$G49*7)</f>
        <v/>
      </c>
      <c r="U49" s="9">
        <f>IF(OR($A49="",NOT(OR($P49="Active",$P49="Retention"))),"",IF(AND($I49&lt;&gt;"",$I49&gt;='Settings'!$B$6),"Booked",IF($T49="","",IF('Settings'!$B$6&gt;$T49+'Settings'!$B$7,"Overdue",IF($T49&lt;='Settings'!$B$6+7,"Due this week","On schedule")))))</f>
        <v/>
      </c>
      <c r="V49" s="15">
        <f>IF(OR($L49="",N($N49)=0),"",($L49-N($M49))/$N49)</f>
        <v/>
      </c>
      <c r="W49" s="15">
        <f>IF(OR($L49="",$E49=""),"",MIN($L49,N($M49)+N($V49)*MIN(N($N49),MAX(0,((YEAR('Settings'!$B$6)-YEAR($E49))*12+MONTH('Settings'!$B$6)-MONTH($E49)-IF(DAY('Settings'!$B$6)&lt;DAY($E49),1,0))))))</f>
        <v/>
      </c>
      <c r="X49" s="15">
        <f>IF($L49="","",$L49-N($O49))</f>
        <v/>
      </c>
      <c r="Y49" s="15">
        <f>IF($W49="","",MAX(0,$W49-N($O49)))</f>
        <v/>
      </c>
      <c r="Z49" s="9">
        <f>IF(OR($A49="",$L49=""),"",IF($X49&lt;=0,"Paid in full",IF($Y49&lt;1,"On track",IF($Y49&lt;=$V49,"1 instalment behind","Behind"))))</f>
        <v/>
      </c>
      <c r="AA49" s="18">
        <f>IF($U49="Overdue",COUNTIF($U$3:$U49,"Overdue"),"")</f>
        <v/>
      </c>
    </row>
    <row r="50">
      <c r="A50" s="4" t="n"/>
      <c r="B50" s="4" t="n"/>
      <c r="C50" s="4" t="n"/>
      <c r="D50" s="4" t="n"/>
      <c r="E50" s="5" t="n"/>
      <c r="F50" s="6" t="n"/>
      <c r="G50" s="6" t="n"/>
      <c r="H50" s="5" t="n"/>
      <c r="I50" s="5" t="n"/>
      <c r="J50" s="6" t="n"/>
      <c r="K50" s="6" t="n"/>
      <c r="L50" s="14" t="n"/>
      <c r="M50" s="14" t="n"/>
      <c r="N50" s="6" t="n"/>
      <c r="O50" s="14" t="n"/>
      <c r="P50" s="4" t="n"/>
      <c r="Q50" s="15">
        <f>IF($E50="","",ROUND(('Settings'!$B$6-$E50)/30.4375,1))</f>
        <v/>
      </c>
      <c r="R50" s="16">
        <f>IF(OR($E50="",N($F50)=0),"",$Q50/$F50)</f>
        <v/>
      </c>
      <c r="S50" s="16">
        <f>IF(N($K50)=0,"",N($J50)/$K50)</f>
        <v/>
      </c>
      <c r="T50" s="17">
        <f>IF(OR($H50="",$G50=""),"",$H50+$G50*7)</f>
        <v/>
      </c>
      <c r="U50" s="9">
        <f>IF(OR($A50="",NOT(OR($P50="Active",$P50="Retention"))),"",IF(AND($I50&lt;&gt;"",$I50&gt;='Settings'!$B$6),"Booked",IF($T50="","",IF('Settings'!$B$6&gt;$T50+'Settings'!$B$7,"Overdue",IF($T50&lt;='Settings'!$B$6+7,"Due this week","On schedule")))))</f>
        <v/>
      </c>
      <c r="V50" s="15">
        <f>IF(OR($L50="",N($N50)=0),"",($L50-N($M50))/$N50)</f>
        <v/>
      </c>
      <c r="W50" s="15">
        <f>IF(OR($L50="",$E50=""),"",MIN($L50,N($M50)+N($V50)*MIN(N($N50),MAX(0,((YEAR('Settings'!$B$6)-YEAR($E50))*12+MONTH('Settings'!$B$6)-MONTH($E50)-IF(DAY('Settings'!$B$6)&lt;DAY($E50),1,0))))))</f>
        <v/>
      </c>
      <c r="X50" s="15">
        <f>IF($L50="","",$L50-N($O50))</f>
        <v/>
      </c>
      <c r="Y50" s="15">
        <f>IF($W50="","",MAX(0,$W50-N($O50)))</f>
        <v/>
      </c>
      <c r="Z50" s="9">
        <f>IF(OR($A50="",$L50=""),"",IF($X50&lt;=0,"Paid in full",IF($Y50&lt;1,"On track",IF($Y50&lt;=$V50,"1 instalment behind","Behind"))))</f>
        <v/>
      </c>
      <c r="AA50" s="18">
        <f>IF($U50="Overdue",COUNTIF($U$3:$U50,"Overdue"),"")</f>
        <v/>
      </c>
    </row>
    <row r="51">
      <c r="A51" s="4" t="n"/>
      <c r="B51" s="4" t="n"/>
      <c r="C51" s="4" t="n"/>
      <c r="D51" s="4" t="n"/>
      <c r="E51" s="5" t="n"/>
      <c r="F51" s="6" t="n"/>
      <c r="G51" s="6" t="n"/>
      <c r="H51" s="5" t="n"/>
      <c r="I51" s="5" t="n"/>
      <c r="J51" s="6" t="n"/>
      <c r="K51" s="6" t="n"/>
      <c r="L51" s="14" t="n"/>
      <c r="M51" s="14" t="n"/>
      <c r="N51" s="6" t="n"/>
      <c r="O51" s="14" t="n"/>
      <c r="P51" s="4" t="n"/>
      <c r="Q51" s="15">
        <f>IF($E51="","",ROUND(('Settings'!$B$6-$E51)/30.4375,1))</f>
        <v/>
      </c>
      <c r="R51" s="16">
        <f>IF(OR($E51="",N($F51)=0),"",$Q51/$F51)</f>
        <v/>
      </c>
      <c r="S51" s="16">
        <f>IF(N($K51)=0,"",N($J51)/$K51)</f>
        <v/>
      </c>
      <c r="T51" s="17">
        <f>IF(OR($H51="",$G51=""),"",$H51+$G51*7)</f>
        <v/>
      </c>
      <c r="U51" s="9">
        <f>IF(OR($A51="",NOT(OR($P51="Active",$P51="Retention"))),"",IF(AND($I51&lt;&gt;"",$I51&gt;='Settings'!$B$6),"Booked",IF($T51="","",IF('Settings'!$B$6&gt;$T51+'Settings'!$B$7,"Overdue",IF($T51&lt;='Settings'!$B$6+7,"Due this week","On schedule")))))</f>
        <v/>
      </c>
      <c r="V51" s="15">
        <f>IF(OR($L51="",N($N51)=0),"",($L51-N($M51))/$N51)</f>
        <v/>
      </c>
      <c r="W51" s="15">
        <f>IF(OR($L51="",$E51=""),"",MIN($L51,N($M51)+N($V51)*MIN(N($N51),MAX(0,((YEAR('Settings'!$B$6)-YEAR($E51))*12+MONTH('Settings'!$B$6)-MONTH($E51)-IF(DAY('Settings'!$B$6)&lt;DAY($E51),1,0))))))</f>
        <v/>
      </c>
      <c r="X51" s="15">
        <f>IF($L51="","",$L51-N($O51))</f>
        <v/>
      </c>
      <c r="Y51" s="15">
        <f>IF($W51="","",MAX(0,$W51-N($O51)))</f>
        <v/>
      </c>
      <c r="Z51" s="9">
        <f>IF(OR($A51="",$L51=""),"",IF($X51&lt;=0,"Paid in full",IF($Y51&lt;1,"On track",IF($Y51&lt;=$V51,"1 instalment behind","Behind"))))</f>
        <v/>
      </c>
      <c r="AA51" s="18">
        <f>IF($U51="Overdue",COUNTIF($U$3:$U51,"Overdue"),"")</f>
        <v/>
      </c>
    </row>
    <row r="52">
      <c r="A52" s="4" t="n"/>
      <c r="B52" s="4" t="n"/>
      <c r="C52" s="4" t="n"/>
      <c r="D52" s="4" t="n"/>
      <c r="E52" s="5" t="n"/>
      <c r="F52" s="6" t="n"/>
      <c r="G52" s="6" t="n"/>
      <c r="H52" s="5" t="n"/>
      <c r="I52" s="5" t="n"/>
      <c r="J52" s="6" t="n"/>
      <c r="K52" s="6" t="n"/>
      <c r="L52" s="14" t="n"/>
      <c r="M52" s="14" t="n"/>
      <c r="N52" s="6" t="n"/>
      <c r="O52" s="14" t="n"/>
      <c r="P52" s="4" t="n"/>
      <c r="Q52" s="15">
        <f>IF($E52="","",ROUND(('Settings'!$B$6-$E52)/30.4375,1))</f>
        <v/>
      </c>
      <c r="R52" s="16">
        <f>IF(OR($E52="",N($F52)=0),"",$Q52/$F52)</f>
        <v/>
      </c>
      <c r="S52" s="16">
        <f>IF(N($K52)=0,"",N($J52)/$K52)</f>
        <v/>
      </c>
      <c r="T52" s="17">
        <f>IF(OR($H52="",$G52=""),"",$H52+$G52*7)</f>
        <v/>
      </c>
      <c r="U52" s="9">
        <f>IF(OR($A52="",NOT(OR($P52="Active",$P52="Retention"))),"",IF(AND($I52&lt;&gt;"",$I52&gt;='Settings'!$B$6),"Booked",IF($T52="","",IF('Settings'!$B$6&gt;$T52+'Settings'!$B$7,"Overdue",IF($T52&lt;='Settings'!$B$6+7,"Due this week","On schedule")))))</f>
        <v/>
      </c>
      <c r="V52" s="15">
        <f>IF(OR($L52="",N($N52)=0),"",($L52-N($M52))/$N52)</f>
        <v/>
      </c>
      <c r="W52" s="15">
        <f>IF(OR($L52="",$E52=""),"",MIN($L52,N($M52)+N($V52)*MIN(N($N52),MAX(0,((YEAR('Settings'!$B$6)-YEAR($E52))*12+MONTH('Settings'!$B$6)-MONTH($E52)-IF(DAY('Settings'!$B$6)&lt;DAY($E52),1,0))))))</f>
        <v/>
      </c>
      <c r="X52" s="15">
        <f>IF($L52="","",$L52-N($O52))</f>
        <v/>
      </c>
      <c r="Y52" s="15">
        <f>IF($W52="","",MAX(0,$W52-N($O52)))</f>
        <v/>
      </c>
      <c r="Z52" s="9">
        <f>IF(OR($A52="",$L52=""),"",IF($X52&lt;=0,"Paid in full",IF($Y52&lt;1,"On track",IF($Y52&lt;=$V52,"1 instalment behind","Behind"))))</f>
        <v/>
      </c>
      <c r="AA52" s="18">
        <f>IF($U52="Overdue",COUNTIF($U$3:$U52,"Overdue"),"")</f>
        <v/>
      </c>
    </row>
    <row r="53">
      <c r="A53" s="4" t="n"/>
      <c r="B53" s="4" t="n"/>
      <c r="C53" s="4" t="n"/>
      <c r="D53" s="4" t="n"/>
      <c r="E53" s="5" t="n"/>
      <c r="F53" s="6" t="n"/>
      <c r="G53" s="6" t="n"/>
      <c r="H53" s="5" t="n"/>
      <c r="I53" s="5" t="n"/>
      <c r="J53" s="6" t="n"/>
      <c r="K53" s="6" t="n"/>
      <c r="L53" s="14" t="n"/>
      <c r="M53" s="14" t="n"/>
      <c r="N53" s="6" t="n"/>
      <c r="O53" s="14" t="n"/>
      <c r="P53" s="4" t="n"/>
      <c r="Q53" s="15">
        <f>IF($E53="","",ROUND(('Settings'!$B$6-$E53)/30.4375,1))</f>
        <v/>
      </c>
      <c r="R53" s="16">
        <f>IF(OR($E53="",N($F53)=0),"",$Q53/$F53)</f>
        <v/>
      </c>
      <c r="S53" s="16">
        <f>IF(N($K53)=0,"",N($J53)/$K53)</f>
        <v/>
      </c>
      <c r="T53" s="17">
        <f>IF(OR($H53="",$G53=""),"",$H53+$G53*7)</f>
        <v/>
      </c>
      <c r="U53" s="9">
        <f>IF(OR($A53="",NOT(OR($P53="Active",$P53="Retention"))),"",IF(AND($I53&lt;&gt;"",$I53&gt;='Settings'!$B$6),"Booked",IF($T53="","",IF('Settings'!$B$6&gt;$T53+'Settings'!$B$7,"Overdue",IF($T53&lt;='Settings'!$B$6+7,"Due this week","On schedule")))))</f>
        <v/>
      </c>
      <c r="V53" s="15">
        <f>IF(OR($L53="",N($N53)=0),"",($L53-N($M53))/$N53)</f>
        <v/>
      </c>
      <c r="W53" s="15">
        <f>IF(OR($L53="",$E53=""),"",MIN($L53,N($M53)+N($V53)*MIN(N($N53),MAX(0,((YEAR('Settings'!$B$6)-YEAR($E53))*12+MONTH('Settings'!$B$6)-MONTH($E53)-IF(DAY('Settings'!$B$6)&lt;DAY($E53),1,0))))))</f>
        <v/>
      </c>
      <c r="X53" s="15">
        <f>IF($L53="","",$L53-N($O53))</f>
        <v/>
      </c>
      <c r="Y53" s="15">
        <f>IF($W53="","",MAX(0,$W53-N($O53)))</f>
        <v/>
      </c>
      <c r="Z53" s="9">
        <f>IF(OR($A53="",$L53=""),"",IF($X53&lt;=0,"Paid in full",IF($Y53&lt;1,"On track",IF($Y53&lt;=$V53,"1 instalment behind","Behind"))))</f>
        <v/>
      </c>
      <c r="AA53" s="18">
        <f>IF($U53="Overdue",COUNTIF($U$3:$U53,"Overdue"),"")</f>
        <v/>
      </c>
    </row>
    <row r="54">
      <c r="A54" s="4" t="n"/>
      <c r="B54" s="4" t="n"/>
      <c r="C54" s="4" t="n"/>
      <c r="D54" s="4" t="n"/>
      <c r="E54" s="5" t="n"/>
      <c r="F54" s="6" t="n"/>
      <c r="G54" s="6" t="n"/>
      <c r="H54" s="5" t="n"/>
      <c r="I54" s="5" t="n"/>
      <c r="J54" s="6" t="n"/>
      <c r="K54" s="6" t="n"/>
      <c r="L54" s="14" t="n"/>
      <c r="M54" s="14" t="n"/>
      <c r="N54" s="6" t="n"/>
      <c r="O54" s="14" t="n"/>
      <c r="P54" s="4" t="n"/>
      <c r="Q54" s="15">
        <f>IF($E54="","",ROUND(('Settings'!$B$6-$E54)/30.4375,1))</f>
        <v/>
      </c>
      <c r="R54" s="16">
        <f>IF(OR($E54="",N($F54)=0),"",$Q54/$F54)</f>
        <v/>
      </c>
      <c r="S54" s="16">
        <f>IF(N($K54)=0,"",N($J54)/$K54)</f>
        <v/>
      </c>
      <c r="T54" s="17">
        <f>IF(OR($H54="",$G54=""),"",$H54+$G54*7)</f>
        <v/>
      </c>
      <c r="U54" s="9">
        <f>IF(OR($A54="",NOT(OR($P54="Active",$P54="Retention"))),"",IF(AND($I54&lt;&gt;"",$I54&gt;='Settings'!$B$6),"Booked",IF($T54="","",IF('Settings'!$B$6&gt;$T54+'Settings'!$B$7,"Overdue",IF($T54&lt;='Settings'!$B$6+7,"Due this week","On schedule")))))</f>
        <v/>
      </c>
      <c r="V54" s="15">
        <f>IF(OR($L54="",N($N54)=0),"",($L54-N($M54))/$N54)</f>
        <v/>
      </c>
      <c r="W54" s="15">
        <f>IF(OR($L54="",$E54=""),"",MIN($L54,N($M54)+N($V54)*MIN(N($N54),MAX(0,((YEAR('Settings'!$B$6)-YEAR($E54))*12+MONTH('Settings'!$B$6)-MONTH($E54)-IF(DAY('Settings'!$B$6)&lt;DAY($E54),1,0))))))</f>
        <v/>
      </c>
      <c r="X54" s="15">
        <f>IF($L54="","",$L54-N($O54))</f>
        <v/>
      </c>
      <c r="Y54" s="15">
        <f>IF($W54="","",MAX(0,$W54-N($O54)))</f>
        <v/>
      </c>
      <c r="Z54" s="9">
        <f>IF(OR($A54="",$L54=""),"",IF($X54&lt;=0,"Paid in full",IF($Y54&lt;1,"On track",IF($Y54&lt;=$V54,"1 instalment behind","Behind"))))</f>
        <v/>
      </c>
      <c r="AA54" s="18">
        <f>IF($U54="Overdue",COUNTIF($U$3:$U54,"Overdue"),"")</f>
        <v/>
      </c>
    </row>
    <row r="55">
      <c r="A55" s="4" t="n"/>
      <c r="B55" s="4" t="n"/>
      <c r="C55" s="4" t="n"/>
      <c r="D55" s="4" t="n"/>
      <c r="E55" s="5" t="n"/>
      <c r="F55" s="6" t="n"/>
      <c r="G55" s="6" t="n"/>
      <c r="H55" s="5" t="n"/>
      <c r="I55" s="5" t="n"/>
      <c r="J55" s="6" t="n"/>
      <c r="K55" s="6" t="n"/>
      <c r="L55" s="14" t="n"/>
      <c r="M55" s="14" t="n"/>
      <c r="N55" s="6" t="n"/>
      <c r="O55" s="14" t="n"/>
      <c r="P55" s="4" t="n"/>
      <c r="Q55" s="15">
        <f>IF($E55="","",ROUND(('Settings'!$B$6-$E55)/30.4375,1))</f>
        <v/>
      </c>
      <c r="R55" s="16">
        <f>IF(OR($E55="",N($F55)=0),"",$Q55/$F55)</f>
        <v/>
      </c>
      <c r="S55" s="16">
        <f>IF(N($K55)=0,"",N($J55)/$K55)</f>
        <v/>
      </c>
      <c r="T55" s="17">
        <f>IF(OR($H55="",$G55=""),"",$H55+$G55*7)</f>
        <v/>
      </c>
      <c r="U55" s="9">
        <f>IF(OR($A55="",NOT(OR($P55="Active",$P55="Retention"))),"",IF(AND($I55&lt;&gt;"",$I55&gt;='Settings'!$B$6),"Booked",IF($T55="","",IF('Settings'!$B$6&gt;$T55+'Settings'!$B$7,"Overdue",IF($T55&lt;='Settings'!$B$6+7,"Due this week","On schedule")))))</f>
        <v/>
      </c>
      <c r="V55" s="15">
        <f>IF(OR($L55="",N($N55)=0),"",($L55-N($M55))/$N55)</f>
        <v/>
      </c>
      <c r="W55" s="15">
        <f>IF(OR($L55="",$E55=""),"",MIN($L55,N($M55)+N($V55)*MIN(N($N55),MAX(0,((YEAR('Settings'!$B$6)-YEAR($E55))*12+MONTH('Settings'!$B$6)-MONTH($E55)-IF(DAY('Settings'!$B$6)&lt;DAY($E55),1,0))))))</f>
        <v/>
      </c>
      <c r="X55" s="15">
        <f>IF($L55="","",$L55-N($O55))</f>
        <v/>
      </c>
      <c r="Y55" s="15">
        <f>IF($W55="","",MAX(0,$W55-N($O55)))</f>
        <v/>
      </c>
      <c r="Z55" s="9">
        <f>IF(OR($A55="",$L55=""),"",IF($X55&lt;=0,"Paid in full",IF($Y55&lt;1,"On track",IF($Y55&lt;=$V55,"1 instalment behind","Behind"))))</f>
        <v/>
      </c>
      <c r="AA55" s="18">
        <f>IF($U55="Overdue",COUNTIF($U$3:$U55,"Overdue"),"")</f>
        <v/>
      </c>
    </row>
    <row r="56">
      <c r="A56" s="4" t="n"/>
      <c r="B56" s="4" t="n"/>
      <c r="C56" s="4" t="n"/>
      <c r="D56" s="4" t="n"/>
      <c r="E56" s="5" t="n"/>
      <c r="F56" s="6" t="n"/>
      <c r="G56" s="6" t="n"/>
      <c r="H56" s="5" t="n"/>
      <c r="I56" s="5" t="n"/>
      <c r="J56" s="6" t="n"/>
      <c r="K56" s="6" t="n"/>
      <c r="L56" s="14" t="n"/>
      <c r="M56" s="14" t="n"/>
      <c r="N56" s="6" t="n"/>
      <c r="O56" s="14" t="n"/>
      <c r="P56" s="4" t="n"/>
      <c r="Q56" s="15">
        <f>IF($E56="","",ROUND(('Settings'!$B$6-$E56)/30.4375,1))</f>
        <v/>
      </c>
      <c r="R56" s="16">
        <f>IF(OR($E56="",N($F56)=0),"",$Q56/$F56)</f>
        <v/>
      </c>
      <c r="S56" s="16">
        <f>IF(N($K56)=0,"",N($J56)/$K56)</f>
        <v/>
      </c>
      <c r="T56" s="17">
        <f>IF(OR($H56="",$G56=""),"",$H56+$G56*7)</f>
        <v/>
      </c>
      <c r="U56" s="9">
        <f>IF(OR($A56="",NOT(OR($P56="Active",$P56="Retention"))),"",IF(AND($I56&lt;&gt;"",$I56&gt;='Settings'!$B$6),"Booked",IF($T56="","",IF('Settings'!$B$6&gt;$T56+'Settings'!$B$7,"Overdue",IF($T56&lt;='Settings'!$B$6+7,"Due this week","On schedule")))))</f>
        <v/>
      </c>
      <c r="V56" s="15">
        <f>IF(OR($L56="",N($N56)=0),"",($L56-N($M56))/$N56)</f>
        <v/>
      </c>
      <c r="W56" s="15">
        <f>IF(OR($L56="",$E56=""),"",MIN($L56,N($M56)+N($V56)*MIN(N($N56),MAX(0,((YEAR('Settings'!$B$6)-YEAR($E56))*12+MONTH('Settings'!$B$6)-MONTH($E56)-IF(DAY('Settings'!$B$6)&lt;DAY($E56),1,0))))))</f>
        <v/>
      </c>
      <c r="X56" s="15">
        <f>IF($L56="","",$L56-N($O56))</f>
        <v/>
      </c>
      <c r="Y56" s="15">
        <f>IF($W56="","",MAX(0,$W56-N($O56)))</f>
        <v/>
      </c>
      <c r="Z56" s="9">
        <f>IF(OR($A56="",$L56=""),"",IF($X56&lt;=0,"Paid in full",IF($Y56&lt;1,"On track",IF($Y56&lt;=$V56,"1 instalment behind","Behind"))))</f>
        <v/>
      </c>
      <c r="AA56" s="18">
        <f>IF($U56="Overdue",COUNTIF($U$3:$U56,"Overdue"),"")</f>
        <v/>
      </c>
    </row>
    <row r="57">
      <c r="A57" s="4" t="n"/>
      <c r="B57" s="4" t="n"/>
      <c r="C57" s="4" t="n"/>
      <c r="D57" s="4" t="n"/>
      <c r="E57" s="5" t="n"/>
      <c r="F57" s="6" t="n"/>
      <c r="G57" s="6" t="n"/>
      <c r="H57" s="5" t="n"/>
      <c r="I57" s="5" t="n"/>
      <c r="J57" s="6" t="n"/>
      <c r="K57" s="6" t="n"/>
      <c r="L57" s="14" t="n"/>
      <c r="M57" s="14" t="n"/>
      <c r="N57" s="6" t="n"/>
      <c r="O57" s="14" t="n"/>
      <c r="P57" s="4" t="n"/>
      <c r="Q57" s="15">
        <f>IF($E57="","",ROUND(('Settings'!$B$6-$E57)/30.4375,1))</f>
        <v/>
      </c>
      <c r="R57" s="16">
        <f>IF(OR($E57="",N($F57)=0),"",$Q57/$F57)</f>
        <v/>
      </c>
      <c r="S57" s="16">
        <f>IF(N($K57)=0,"",N($J57)/$K57)</f>
        <v/>
      </c>
      <c r="T57" s="17">
        <f>IF(OR($H57="",$G57=""),"",$H57+$G57*7)</f>
        <v/>
      </c>
      <c r="U57" s="9">
        <f>IF(OR($A57="",NOT(OR($P57="Active",$P57="Retention"))),"",IF(AND($I57&lt;&gt;"",$I57&gt;='Settings'!$B$6),"Booked",IF($T57="","",IF('Settings'!$B$6&gt;$T57+'Settings'!$B$7,"Overdue",IF($T57&lt;='Settings'!$B$6+7,"Due this week","On schedule")))))</f>
        <v/>
      </c>
      <c r="V57" s="15">
        <f>IF(OR($L57="",N($N57)=0),"",($L57-N($M57))/$N57)</f>
        <v/>
      </c>
      <c r="W57" s="15">
        <f>IF(OR($L57="",$E57=""),"",MIN($L57,N($M57)+N($V57)*MIN(N($N57),MAX(0,((YEAR('Settings'!$B$6)-YEAR($E57))*12+MONTH('Settings'!$B$6)-MONTH($E57)-IF(DAY('Settings'!$B$6)&lt;DAY($E57),1,0))))))</f>
        <v/>
      </c>
      <c r="X57" s="15">
        <f>IF($L57="","",$L57-N($O57))</f>
        <v/>
      </c>
      <c r="Y57" s="15">
        <f>IF($W57="","",MAX(0,$W57-N($O57)))</f>
        <v/>
      </c>
      <c r="Z57" s="9">
        <f>IF(OR($A57="",$L57=""),"",IF($X57&lt;=0,"Paid in full",IF($Y57&lt;1,"On track",IF($Y57&lt;=$V57,"1 instalment behind","Behind"))))</f>
        <v/>
      </c>
      <c r="AA57" s="18">
        <f>IF($U57="Overdue",COUNTIF($U$3:$U57,"Overdue"),"")</f>
        <v/>
      </c>
    </row>
    <row r="58">
      <c r="A58" s="4" t="n"/>
      <c r="B58" s="4" t="n"/>
      <c r="C58" s="4" t="n"/>
      <c r="D58" s="4" t="n"/>
      <c r="E58" s="5" t="n"/>
      <c r="F58" s="6" t="n"/>
      <c r="G58" s="6" t="n"/>
      <c r="H58" s="5" t="n"/>
      <c r="I58" s="5" t="n"/>
      <c r="J58" s="6" t="n"/>
      <c r="K58" s="6" t="n"/>
      <c r="L58" s="14" t="n"/>
      <c r="M58" s="14" t="n"/>
      <c r="N58" s="6" t="n"/>
      <c r="O58" s="14" t="n"/>
      <c r="P58" s="4" t="n"/>
      <c r="Q58" s="15">
        <f>IF($E58="","",ROUND(('Settings'!$B$6-$E58)/30.4375,1))</f>
        <v/>
      </c>
      <c r="R58" s="16">
        <f>IF(OR($E58="",N($F58)=0),"",$Q58/$F58)</f>
        <v/>
      </c>
      <c r="S58" s="16">
        <f>IF(N($K58)=0,"",N($J58)/$K58)</f>
        <v/>
      </c>
      <c r="T58" s="17">
        <f>IF(OR($H58="",$G58=""),"",$H58+$G58*7)</f>
        <v/>
      </c>
      <c r="U58" s="9">
        <f>IF(OR($A58="",NOT(OR($P58="Active",$P58="Retention"))),"",IF(AND($I58&lt;&gt;"",$I58&gt;='Settings'!$B$6),"Booked",IF($T58="","",IF('Settings'!$B$6&gt;$T58+'Settings'!$B$7,"Overdue",IF($T58&lt;='Settings'!$B$6+7,"Due this week","On schedule")))))</f>
        <v/>
      </c>
      <c r="V58" s="15">
        <f>IF(OR($L58="",N($N58)=0),"",($L58-N($M58))/$N58)</f>
        <v/>
      </c>
      <c r="W58" s="15">
        <f>IF(OR($L58="",$E58=""),"",MIN($L58,N($M58)+N($V58)*MIN(N($N58),MAX(0,((YEAR('Settings'!$B$6)-YEAR($E58))*12+MONTH('Settings'!$B$6)-MONTH($E58)-IF(DAY('Settings'!$B$6)&lt;DAY($E58),1,0))))))</f>
        <v/>
      </c>
      <c r="X58" s="15">
        <f>IF($L58="","",$L58-N($O58))</f>
        <v/>
      </c>
      <c r="Y58" s="15">
        <f>IF($W58="","",MAX(0,$W58-N($O58)))</f>
        <v/>
      </c>
      <c r="Z58" s="9">
        <f>IF(OR($A58="",$L58=""),"",IF($X58&lt;=0,"Paid in full",IF($Y58&lt;1,"On track",IF($Y58&lt;=$V58,"1 instalment behind","Behind"))))</f>
        <v/>
      </c>
      <c r="AA58" s="18">
        <f>IF($U58="Overdue",COUNTIF($U$3:$U58,"Overdue"),"")</f>
        <v/>
      </c>
    </row>
    <row r="59">
      <c r="A59" s="4" t="n"/>
      <c r="B59" s="4" t="n"/>
      <c r="C59" s="4" t="n"/>
      <c r="D59" s="4" t="n"/>
      <c r="E59" s="5" t="n"/>
      <c r="F59" s="6" t="n"/>
      <c r="G59" s="6" t="n"/>
      <c r="H59" s="5" t="n"/>
      <c r="I59" s="5" t="n"/>
      <c r="J59" s="6" t="n"/>
      <c r="K59" s="6" t="n"/>
      <c r="L59" s="14" t="n"/>
      <c r="M59" s="14" t="n"/>
      <c r="N59" s="6" t="n"/>
      <c r="O59" s="14" t="n"/>
      <c r="P59" s="4" t="n"/>
      <c r="Q59" s="15">
        <f>IF($E59="","",ROUND(('Settings'!$B$6-$E59)/30.4375,1))</f>
        <v/>
      </c>
      <c r="R59" s="16">
        <f>IF(OR($E59="",N($F59)=0),"",$Q59/$F59)</f>
        <v/>
      </c>
      <c r="S59" s="16">
        <f>IF(N($K59)=0,"",N($J59)/$K59)</f>
        <v/>
      </c>
      <c r="T59" s="17">
        <f>IF(OR($H59="",$G59=""),"",$H59+$G59*7)</f>
        <v/>
      </c>
      <c r="U59" s="9">
        <f>IF(OR($A59="",NOT(OR($P59="Active",$P59="Retention"))),"",IF(AND($I59&lt;&gt;"",$I59&gt;='Settings'!$B$6),"Booked",IF($T59="","",IF('Settings'!$B$6&gt;$T59+'Settings'!$B$7,"Overdue",IF($T59&lt;='Settings'!$B$6+7,"Due this week","On schedule")))))</f>
        <v/>
      </c>
      <c r="V59" s="15">
        <f>IF(OR($L59="",N($N59)=0),"",($L59-N($M59))/$N59)</f>
        <v/>
      </c>
      <c r="W59" s="15">
        <f>IF(OR($L59="",$E59=""),"",MIN($L59,N($M59)+N($V59)*MIN(N($N59),MAX(0,((YEAR('Settings'!$B$6)-YEAR($E59))*12+MONTH('Settings'!$B$6)-MONTH($E59)-IF(DAY('Settings'!$B$6)&lt;DAY($E59),1,0))))))</f>
        <v/>
      </c>
      <c r="X59" s="15">
        <f>IF($L59="","",$L59-N($O59))</f>
        <v/>
      </c>
      <c r="Y59" s="15">
        <f>IF($W59="","",MAX(0,$W59-N($O59)))</f>
        <v/>
      </c>
      <c r="Z59" s="9">
        <f>IF(OR($A59="",$L59=""),"",IF($X59&lt;=0,"Paid in full",IF($Y59&lt;1,"On track",IF($Y59&lt;=$V59,"1 instalment behind","Behind"))))</f>
        <v/>
      </c>
      <c r="AA59" s="18">
        <f>IF($U59="Overdue",COUNTIF($U$3:$U59,"Overdue"),"")</f>
        <v/>
      </c>
    </row>
    <row r="60">
      <c r="A60" s="4" t="n"/>
      <c r="B60" s="4" t="n"/>
      <c r="C60" s="4" t="n"/>
      <c r="D60" s="4" t="n"/>
      <c r="E60" s="5" t="n"/>
      <c r="F60" s="6" t="n"/>
      <c r="G60" s="6" t="n"/>
      <c r="H60" s="5" t="n"/>
      <c r="I60" s="5" t="n"/>
      <c r="J60" s="6" t="n"/>
      <c r="K60" s="6" t="n"/>
      <c r="L60" s="14" t="n"/>
      <c r="M60" s="14" t="n"/>
      <c r="N60" s="6" t="n"/>
      <c r="O60" s="14" t="n"/>
      <c r="P60" s="4" t="n"/>
      <c r="Q60" s="15">
        <f>IF($E60="","",ROUND(('Settings'!$B$6-$E60)/30.4375,1))</f>
        <v/>
      </c>
      <c r="R60" s="16">
        <f>IF(OR($E60="",N($F60)=0),"",$Q60/$F60)</f>
        <v/>
      </c>
      <c r="S60" s="16">
        <f>IF(N($K60)=0,"",N($J60)/$K60)</f>
        <v/>
      </c>
      <c r="T60" s="17">
        <f>IF(OR($H60="",$G60=""),"",$H60+$G60*7)</f>
        <v/>
      </c>
      <c r="U60" s="9">
        <f>IF(OR($A60="",NOT(OR($P60="Active",$P60="Retention"))),"",IF(AND($I60&lt;&gt;"",$I60&gt;='Settings'!$B$6),"Booked",IF($T60="","",IF('Settings'!$B$6&gt;$T60+'Settings'!$B$7,"Overdue",IF($T60&lt;='Settings'!$B$6+7,"Due this week","On schedule")))))</f>
        <v/>
      </c>
      <c r="V60" s="15">
        <f>IF(OR($L60="",N($N60)=0),"",($L60-N($M60))/$N60)</f>
        <v/>
      </c>
      <c r="W60" s="15">
        <f>IF(OR($L60="",$E60=""),"",MIN($L60,N($M60)+N($V60)*MIN(N($N60),MAX(0,((YEAR('Settings'!$B$6)-YEAR($E60))*12+MONTH('Settings'!$B$6)-MONTH($E60)-IF(DAY('Settings'!$B$6)&lt;DAY($E60),1,0))))))</f>
        <v/>
      </c>
      <c r="X60" s="15">
        <f>IF($L60="","",$L60-N($O60))</f>
        <v/>
      </c>
      <c r="Y60" s="15">
        <f>IF($W60="","",MAX(0,$W60-N($O60)))</f>
        <v/>
      </c>
      <c r="Z60" s="9">
        <f>IF(OR($A60="",$L60=""),"",IF($X60&lt;=0,"Paid in full",IF($Y60&lt;1,"On track",IF($Y60&lt;=$V60,"1 instalment behind","Behind"))))</f>
        <v/>
      </c>
      <c r="AA60" s="18">
        <f>IF($U60="Overdue",COUNTIF($U$3:$U60,"Overdue"),"")</f>
        <v/>
      </c>
    </row>
    <row r="61">
      <c r="A61" s="4" t="n"/>
      <c r="B61" s="4" t="n"/>
      <c r="C61" s="4" t="n"/>
      <c r="D61" s="4" t="n"/>
      <c r="E61" s="5" t="n"/>
      <c r="F61" s="6" t="n"/>
      <c r="G61" s="6" t="n"/>
      <c r="H61" s="5" t="n"/>
      <c r="I61" s="5" t="n"/>
      <c r="J61" s="6" t="n"/>
      <c r="K61" s="6" t="n"/>
      <c r="L61" s="14" t="n"/>
      <c r="M61" s="14" t="n"/>
      <c r="N61" s="6" t="n"/>
      <c r="O61" s="14" t="n"/>
      <c r="P61" s="4" t="n"/>
      <c r="Q61" s="15">
        <f>IF($E61="","",ROUND(('Settings'!$B$6-$E61)/30.4375,1))</f>
        <v/>
      </c>
      <c r="R61" s="16">
        <f>IF(OR($E61="",N($F61)=0),"",$Q61/$F61)</f>
        <v/>
      </c>
      <c r="S61" s="16">
        <f>IF(N($K61)=0,"",N($J61)/$K61)</f>
        <v/>
      </c>
      <c r="T61" s="17">
        <f>IF(OR($H61="",$G61=""),"",$H61+$G61*7)</f>
        <v/>
      </c>
      <c r="U61" s="9">
        <f>IF(OR($A61="",NOT(OR($P61="Active",$P61="Retention"))),"",IF(AND($I61&lt;&gt;"",$I61&gt;='Settings'!$B$6),"Booked",IF($T61="","",IF('Settings'!$B$6&gt;$T61+'Settings'!$B$7,"Overdue",IF($T61&lt;='Settings'!$B$6+7,"Due this week","On schedule")))))</f>
        <v/>
      </c>
      <c r="V61" s="15">
        <f>IF(OR($L61="",N($N61)=0),"",($L61-N($M61))/$N61)</f>
        <v/>
      </c>
      <c r="W61" s="15">
        <f>IF(OR($L61="",$E61=""),"",MIN($L61,N($M61)+N($V61)*MIN(N($N61),MAX(0,((YEAR('Settings'!$B$6)-YEAR($E61))*12+MONTH('Settings'!$B$6)-MONTH($E61)-IF(DAY('Settings'!$B$6)&lt;DAY($E61),1,0))))))</f>
        <v/>
      </c>
      <c r="X61" s="15">
        <f>IF($L61="","",$L61-N($O61))</f>
        <v/>
      </c>
      <c r="Y61" s="15">
        <f>IF($W61="","",MAX(0,$W61-N($O61)))</f>
        <v/>
      </c>
      <c r="Z61" s="9">
        <f>IF(OR($A61="",$L61=""),"",IF($X61&lt;=0,"Paid in full",IF($Y61&lt;1,"On track",IF($Y61&lt;=$V61,"1 instalment behind","Behind"))))</f>
        <v/>
      </c>
      <c r="AA61" s="18">
        <f>IF($U61="Overdue",COUNTIF($U$3:$U61,"Overdue"),"")</f>
        <v/>
      </c>
    </row>
    <row r="62">
      <c r="A62" s="4" t="n"/>
      <c r="B62" s="4" t="n"/>
      <c r="C62" s="4" t="n"/>
      <c r="D62" s="4" t="n"/>
      <c r="E62" s="5" t="n"/>
      <c r="F62" s="6" t="n"/>
      <c r="G62" s="6" t="n"/>
      <c r="H62" s="5" t="n"/>
      <c r="I62" s="5" t="n"/>
      <c r="J62" s="6" t="n"/>
      <c r="K62" s="6" t="n"/>
      <c r="L62" s="14" t="n"/>
      <c r="M62" s="14" t="n"/>
      <c r="N62" s="6" t="n"/>
      <c r="O62" s="14" t="n"/>
      <c r="P62" s="4" t="n"/>
      <c r="Q62" s="15">
        <f>IF($E62="","",ROUND(('Settings'!$B$6-$E62)/30.4375,1))</f>
        <v/>
      </c>
      <c r="R62" s="16">
        <f>IF(OR($E62="",N($F62)=0),"",$Q62/$F62)</f>
        <v/>
      </c>
      <c r="S62" s="16">
        <f>IF(N($K62)=0,"",N($J62)/$K62)</f>
        <v/>
      </c>
      <c r="T62" s="17">
        <f>IF(OR($H62="",$G62=""),"",$H62+$G62*7)</f>
        <v/>
      </c>
      <c r="U62" s="9">
        <f>IF(OR($A62="",NOT(OR($P62="Active",$P62="Retention"))),"",IF(AND($I62&lt;&gt;"",$I62&gt;='Settings'!$B$6),"Booked",IF($T62="","",IF('Settings'!$B$6&gt;$T62+'Settings'!$B$7,"Overdue",IF($T62&lt;='Settings'!$B$6+7,"Due this week","On schedule")))))</f>
        <v/>
      </c>
      <c r="V62" s="15">
        <f>IF(OR($L62="",N($N62)=0),"",($L62-N($M62))/$N62)</f>
        <v/>
      </c>
      <c r="W62" s="15">
        <f>IF(OR($L62="",$E62=""),"",MIN($L62,N($M62)+N($V62)*MIN(N($N62),MAX(0,((YEAR('Settings'!$B$6)-YEAR($E62))*12+MONTH('Settings'!$B$6)-MONTH($E62)-IF(DAY('Settings'!$B$6)&lt;DAY($E62),1,0))))))</f>
        <v/>
      </c>
      <c r="X62" s="15">
        <f>IF($L62="","",$L62-N($O62))</f>
        <v/>
      </c>
      <c r="Y62" s="15">
        <f>IF($W62="","",MAX(0,$W62-N($O62)))</f>
        <v/>
      </c>
      <c r="Z62" s="9">
        <f>IF(OR($A62="",$L62=""),"",IF($X62&lt;=0,"Paid in full",IF($Y62&lt;1,"On track",IF($Y62&lt;=$V62,"1 instalment behind","Behind"))))</f>
        <v/>
      </c>
      <c r="AA62" s="18">
        <f>IF($U62="Overdue",COUNTIF($U$3:$U62,"Overdue"),"")</f>
        <v/>
      </c>
    </row>
    <row r="63">
      <c r="A63" s="4" t="n"/>
      <c r="B63" s="4" t="n"/>
      <c r="C63" s="4" t="n"/>
      <c r="D63" s="4" t="n"/>
      <c r="E63" s="5" t="n"/>
      <c r="F63" s="6" t="n"/>
      <c r="G63" s="6" t="n"/>
      <c r="H63" s="5" t="n"/>
      <c r="I63" s="5" t="n"/>
      <c r="J63" s="6" t="n"/>
      <c r="K63" s="6" t="n"/>
      <c r="L63" s="14" t="n"/>
      <c r="M63" s="14" t="n"/>
      <c r="N63" s="6" t="n"/>
      <c r="O63" s="14" t="n"/>
      <c r="P63" s="4" t="n"/>
      <c r="Q63" s="15">
        <f>IF($E63="","",ROUND(('Settings'!$B$6-$E63)/30.4375,1))</f>
        <v/>
      </c>
      <c r="R63" s="16">
        <f>IF(OR($E63="",N($F63)=0),"",$Q63/$F63)</f>
        <v/>
      </c>
      <c r="S63" s="16">
        <f>IF(N($K63)=0,"",N($J63)/$K63)</f>
        <v/>
      </c>
      <c r="T63" s="17">
        <f>IF(OR($H63="",$G63=""),"",$H63+$G63*7)</f>
        <v/>
      </c>
      <c r="U63" s="9">
        <f>IF(OR($A63="",NOT(OR($P63="Active",$P63="Retention"))),"",IF(AND($I63&lt;&gt;"",$I63&gt;='Settings'!$B$6),"Booked",IF($T63="","",IF('Settings'!$B$6&gt;$T63+'Settings'!$B$7,"Overdue",IF($T63&lt;='Settings'!$B$6+7,"Due this week","On schedule")))))</f>
        <v/>
      </c>
      <c r="V63" s="15">
        <f>IF(OR($L63="",N($N63)=0),"",($L63-N($M63))/$N63)</f>
        <v/>
      </c>
      <c r="W63" s="15">
        <f>IF(OR($L63="",$E63=""),"",MIN($L63,N($M63)+N($V63)*MIN(N($N63),MAX(0,((YEAR('Settings'!$B$6)-YEAR($E63))*12+MONTH('Settings'!$B$6)-MONTH($E63)-IF(DAY('Settings'!$B$6)&lt;DAY($E63),1,0))))))</f>
        <v/>
      </c>
      <c r="X63" s="15">
        <f>IF($L63="","",$L63-N($O63))</f>
        <v/>
      </c>
      <c r="Y63" s="15">
        <f>IF($W63="","",MAX(0,$W63-N($O63)))</f>
        <v/>
      </c>
      <c r="Z63" s="9">
        <f>IF(OR($A63="",$L63=""),"",IF($X63&lt;=0,"Paid in full",IF($Y63&lt;1,"On track",IF($Y63&lt;=$V63,"1 instalment behind","Behind"))))</f>
        <v/>
      </c>
      <c r="AA63" s="18">
        <f>IF($U63="Overdue",COUNTIF($U$3:$U63,"Overdue"),"")</f>
        <v/>
      </c>
    </row>
    <row r="64">
      <c r="A64" s="4" t="n"/>
      <c r="B64" s="4" t="n"/>
      <c r="C64" s="4" t="n"/>
      <c r="D64" s="4" t="n"/>
      <c r="E64" s="5" t="n"/>
      <c r="F64" s="6" t="n"/>
      <c r="G64" s="6" t="n"/>
      <c r="H64" s="5" t="n"/>
      <c r="I64" s="5" t="n"/>
      <c r="J64" s="6" t="n"/>
      <c r="K64" s="6" t="n"/>
      <c r="L64" s="14" t="n"/>
      <c r="M64" s="14" t="n"/>
      <c r="N64" s="6" t="n"/>
      <c r="O64" s="14" t="n"/>
      <c r="P64" s="4" t="n"/>
      <c r="Q64" s="15">
        <f>IF($E64="","",ROUND(('Settings'!$B$6-$E64)/30.4375,1))</f>
        <v/>
      </c>
      <c r="R64" s="16">
        <f>IF(OR($E64="",N($F64)=0),"",$Q64/$F64)</f>
        <v/>
      </c>
      <c r="S64" s="16">
        <f>IF(N($K64)=0,"",N($J64)/$K64)</f>
        <v/>
      </c>
      <c r="T64" s="17">
        <f>IF(OR($H64="",$G64=""),"",$H64+$G64*7)</f>
        <v/>
      </c>
      <c r="U64" s="9">
        <f>IF(OR($A64="",NOT(OR($P64="Active",$P64="Retention"))),"",IF(AND($I64&lt;&gt;"",$I64&gt;='Settings'!$B$6),"Booked",IF($T64="","",IF('Settings'!$B$6&gt;$T64+'Settings'!$B$7,"Overdue",IF($T64&lt;='Settings'!$B$6+7,"Due this week","On schedule")))))</f>
        <v/>
      </c>
      <c r="V64" s="15">
        <f>IF(OR($L64="",N($N64)=0),"",($L64-N($M64))/$N64)</f>
        <v/>
      </c>
      <c r="W64" s="15">
        <f>IF(OR($L64="",$E64=""),"",MIN($L64,N($M64)+N($V64)*MIN(N($N64),MAX(0,((YEAR('Settings'!$B$6)-YEAR($E64))*12+MONTH('Settings'!$B$6)-MONTH($E64)-IF(DAY('Settings'!$B$6)&lt;DAY($E64),1,0))))))</f>
        <v/>
      </c>
      <c r="X64" s="15">
        <f>IF($L64="","",$L64-N($O64))</f>
        <v/>
      </c>
      <c r="Y64" s="15">
        <f>IF($W64="","",MAX(0,$W64-N($O64)))</f>
        <v/>
      </c>
      <c r="Z64" s="9">
        <f>IF(OR($A64="",$L64=""),"",IF($X64&lt;=0,"Paid in full",IF($Y64&lt;1,"On track",IF($Y64&lt;=$V64,"1 instalment behind","Behind"))))</f>
        <v/>
      </c>
      <c r="AA64" s="18">
        <f>IF($U64="Overdue",COUNTIF($U$3:$U64,"Overdue"),"")</f>
        <v/>
      </c>
    </row>
    <row r="65">
      <c r="A65" s="4" t="n"/>
      <c r="B65" s="4" t="n"/>
      <c r="C65" s="4" t="n"/>
      <c r="D65" s="4" t="n"/>
      <c r="E65" s="5" t="n"/>
      <c r="F65" s="6" t="n"/>
      <c r="G65" s="6" t="n"/>
      <c r="H65" s="5" t="n"/>
      <c r="I65" s="5" t="n"/>
      <c r="J65" s="6" t="n"/>
      <c r="K65" s="6" t="n"/>
      <c r="L65" s="14" t="n"/>
      <c r="M65" s="14" t="n"/>
      <c r="N65" s="6" t="n"/>
      <c r="O65" s="14" t="n"/>
      <c r="P65" s="4" t="n"/>
      <c r="Q65" s="15">
        <f>IF($E65="","",ROUND(('Settings'!$B$6-$E65)/30.4375,1))</f>
        <v/>
      </c>
      <c r="R65" s="16">
        <f>IF(OR($E65="",N($F65)=0),"",$Q65/$F65)</f>
        <v/>
      </c>
      <c r="S65" s="16">
        <f>IF(N($K65)=0,"",N($J65)/$K65)</f>
        <v/>
      </c>
      <c r="T65" s="17">
        <f>IF(OR($H65="",$G65=""),"",$H65+$G65*7)</f>
        <v/>
      </c>
      <c r="U65" s="9">
        <f>IF(OR($A65="",NOT(OR($P65="Active",$P65="Retention"))),"",IF(AND($I65&lt;&gt;"",$I65&gt;='Settings'!$B$6),"Booked",IF($T65="","",IF('Settings'!$B$6&gt;$T65+'Settings'!$B$7,"Overdue",IF($T65&lt;='Settings'!$B$6+7,"Due this week","On schedule")))))</f>
        <v/>
      </c>
      <c r="V65" s="15">
        <f>IF(OR($L65="",N($N65)=0),"",($L65-N($M65))/$N65)</f>
        <v/>
      </c>
      <c r="W65" s="15">
        <f>IF(OR($L65="",$E65=""),"",MIN($L65,N($M65)+N($V65)*MIN(N($N65),MAX(0,((YEAR('Settings'!$B$6)-YEAR($E65))*12+MONTH('Settings'!$B$6)-MONTH($E65)-IF(DAY('Settings'!$B$6)&lt;DAY($E65),1,0))))))</f>
        <v/>
      </c>
      <c r="X65" s="15">
        <f>IF($L65="","",$L65-N($O65))</f>
        <v/>
      </c>
      <c r="Y65" s="15">
        <f>IF($W65="","",MAX(0,$W65-N($O65)))</f>
        <v/>
      </c>
      <c r="Z65" s="9">
        <f>IF(OR($A65="",$L65=""),"",IF($X65&lt;=0,"Paid in full",IF($Y65&lt;1,"On track",IF($Y65&lt;=$V65,"1 instalment behind","Behind"))))</f>
        <v/>
      </c>
      <c r="AA65" s="18">
        <f>IF($U65="Overdue",COUNTIF($U$3:$U65,"Overdue"),"")</f>
        <v/>
      </c>
    </row>
    <row r="66">
      <c r="A66" s="4" t="n"/>
      <c r="B66" s="4" t="n"/>
      <c r="C66" s="4" t="n"/>
      <c r="D66" s="4" t="n"/>
      <c r="E66" s="5" t="n"/>
      <c r="F66" s="6" t="n"/>
      <c r="G66" s="6" t="n"/>
      <c r="H66" s="5" t="n"/>
      <c r="I66" s="5" t="n"/>
      <c r="J66" s="6" t="n"/>
      <c r="K66" s="6" t="n"/>
      <c r="L66" s="14" t="n"/>
      <c r="M66" s="14" t="n"/>
      <c r="N66" s="6" t="n"/>
      <c r="O66" s="14" t="n"/>
      <c r="P66" s="4" t="n"/>
      <c r="Q66" s="15">
        <f>IF($E66="","",ROUND(('Settings'!$B$6-$E66)/30.4375,1))</f>
        <v/>
      </c>
      <c r="R66" s="16">
        <f>IF(OR($E66="",N($F66)=0),"",$Q66/$F66)</f>
        <v/>
      </c>
      <c r="S66" s="16">
        <f>IF(N($K66)=0,"",N($J66)/$K66)</f>
        <v/>
      </c>
      <c r="T66" s="17">
        <f>IF(OR($H66="",$G66=""),"",$H66+$G66*7)</f>
        <v/>
      </c>
      <c r="U66" s="9">
        <f>IF(OR($A66="",NOT(OR($P66="Active",$P66="Retention"))),"",IF(AND($I66&lt;&gt;"",$I66&gt;='Settings'!$B$6),"Booked",IF($T66="","",IF('Settings'!$B$6&gt;$T66+'Settings'!$B$7,"Overdue",IF($T66&lt;='Settings'!$B$6+7,"Due this week","On schedule")))))</f>
        <v/>
      </c>
      <c r="V66" s="15">
        <f>IF(OR($L66="",N($N66)=0),"",($L66-N($M66))/$N66)</f>
        <v/>
      </c>
      <c r="W66" s="15">
        <f>IF(OR($L66="",$E66=""),"",MIN($L66,N($M66)+N($V66)*MIN(N($N66),MAX(0,((YEAR('Settings'!$B$6)-YEAR($E66))*12+MONTH('Settings'!$B$6)-MONTH($E66)-IF(DAY('Settings'!$B$6)&lt;DAY($E66),1,0))))))</f>
        <v/>
      </c>
      <c r="X66" s="15">
        <f>IF($L66="","",$L66-N($O66))</f>
        <v/>
      </c>
      <c r="Y66" s="15">
        <f>IF($W66="","",MAX(0,$W66-N($O66)))</f>
        <v/>
      </c>
      <c r="Z66" s="9">
        <f>IF(OR($A66="",$L66=""),"",IF($X66&lt;=0,"Paid in full",IF($Y66&lt;1,"On track",IF($Y66&lt;=$V66,"1 instalment behind","Behind"))))</f>
        <v/>
      </c>
      <c r="AA66" s="18">
        <f>IF($U66="Overdue",COUNTIF($U$3:$U66,"Overdue"),"")</f>
        <v/>
      </c>
    </row>
    <row r="67">
      <c r="A67" s="4" t="n"/>
      <c r="B67" s="4" t="n"/>
      <c r="C67" s="4" t="n"/>
      <c r="D67" s="4" t="n"/>
      <c r="E67" s="5" t="n"/>
      <c r="F67" s="6" t="n"/>
      <c r="G67" s="6" t="n"/>
      <c r="H67" s="5" t="n"/>
      <c r="I67" s="5" t="n"/>
      <c r="J67" s="6" t="n"/>
      <c r="K67" s="6" t="n"/>
      <c r="L67" s="14" t="n"/>
      <c r="M67" s="14" t="n"/>
      <c r="N67" s="6" t="n"/>
      <c r="O67" s="14" t="n"/>
      <c r="P67" s="4" t="n"/>
      <c r="Q67" s="15">
        <f>IF($E67="","",ROUND(('Settings'!$B$6-$E67)/30.4375,1))</f>
        <v/>
      </c>
      <c r="R67" s="16">
        <f>IF(OR($E67="",N($F67)=0),"",$Q67/$F67)</f>
        <v/>
      </c>
      <c r="S67" s="16">
        <f>IF(N($K67)=0,"",N($J67)/$K67)</f>
        <v/>
      </c>
      <c r="T67" s="17">
        <f>IF(OR($H67="",$G67=""),"",$H67+$G67*7)</f>
        <v/>
      </c>
      <c r="U67" s="9">
        <f>IF(OR($A67="",NOT(OR($P67="Active",$P67="Retention"))),"",IF(AND($I67&lt;&gt;"",$I67&gt;='Settings'!$B$6),"Booked",IF($T67="","",IF('Settings'!$B$6&gt;$T67+'Settings'!$B$7,"Overdue",IF($T67&lt;='Settings'!$B$6+7,"Due this week","On schedule")))))</f>
        <v/>
      </c>
      <c r="V67" s="15">
        <f>IF(OR($L67="",N($N67)=0),"",($L67-N($M67))/$N67)</f>
        <v/>
      </c>
      <c r="W67" s="15">
        <f>IF(OR($L67="",$E67=""),"",MIN($L67,N($M67)+N($V67)*MIN(N($N67),MAX(0,((YEAR('Settings'!$B$6)-YEAR($E67))*12+MONTH('Settings'!$B$6)-MONTH($E67)-IF(DAY('Settings'!$B$6)&lt;DAY($E67),1,0))))))</f>
        <v/>
      </c>
      <c r="X67" s="15">
        <f>IF($L67="","",$L67-N($O67))</f>
        <v/>
      </c>
      <c r="Y67" s="15">
        <f>IF($W67="","",MAX(0,$W67-N($O67)))</f>
        <v/>
      </c>
      <c r="Z67" s="9">
        <f>IF(OR($A67="",$L67=""),"",IF($X67&lt;=0,"Paid in full",IF($Y67&lt;1,"On track",IF($Y67&lt;=$V67,"1 instalment behind","Behind"))))</f>
        <v/>
      </c>
      <c r="AA67" s="18">
        <f>IF($U67="Overdue",COUNTIF($U$3:$U67,"Overdue"),"")</f>
        <v/>
      </c>
    </row>
    <row r="68">
      <c r="A68" s="4" t="n"/>
      <c r="B68" s="4" t="n"/>
      <c r="C68" s="4" t="n"/>
      <c r="D68" s="4" t="n"/>
      <c r="E68" s="5" t="n"/>
      <c r="F68" s="6" t="n"/>
      <c r="G68" s="6" t="n"/>
      <c r="H68" s="5" t="n"/>
      <c r="I68" s="5" t="n"/>
      <c r="J68" s="6" t="n"/>
      <c r="K68" s="6" t="n"/>
      <c r="L68" s="14" t="n"/>
      <c r="M68" s="14" t="n"/>
      <c r="N68" s="6" t="n"/>
      <c r="O68" s="14" t="n"/>
      <c r="P68" s="4" t="n"/>
      <c r="Q68" s="15">
        <f>IF($E68="","",ROUND(('Settings'!$B$6-$E68)/30.4375,1))</f>
        <v/>
      </c>
      <c r="R68" s="16">
        <f>IF(OR($E68="",N($F68)=0),"",$Q68/$F68)</f>
        <v/>
      </c>
      <c r="S68" s="16">
        <f>IF(N($K68)=0,"",N($J68)/$K68)</f>
        <v/>
      </c>
      <c r="T68" s="17">
        <f>IF(OR($H68="",$G68=""),"",$H68+$G68*7)</f>
        <v/>
      </c>
      <c r="U68" s="9">
        <f>IF(OR($A68="",NOT(OR($P68="Active",$P68="Retention"))),"",IF(AND($I68&lt;&gt;"",$I68&gt;='Settings'!$B$6),"Booked",IF($T68="","",IF('Settings'!$B$6&gt;$T68+'Settings'!$B$7,"Overdue",IF($T68&lt;='Settings'!$B$6+7,"Due this week","On schedule")))))</f>
        <v/>
      </c>
      <c r="V68" s="15">
        <f>IF(OR($L68="",N($N68)=0),"",($L68-N($M68))/$N68)</f>
        <v/>
      </c>
      <c r="W68" s="15">
        <f>IF(OR($L68="",$E68=""),"",MIN($L68,N($M68)+N($V68)*MIN(N($N68),MAX(0,((YEAR('Settings'!$B$6)-YEAR($E68))*12+MONTH('Settings'!$B$6)-MONTH($E68)-IF(DAY('Settings'!$B$6)&lt;DAY($E68),1,0))))))</f>
        <v/>
      </c>
      <c r="X68" s="15">
        <f>IF($L68="","",$L68-N($O68))</f>
        <v/>
      </c>
      <c r="Y68" s="15">
        <f>IF($W68="","",MAX(0,$W68-N($O68)))</f>
        <v/>
      </c>
      <c r="Z68" s="9">
        <f>IF(OR($A68="",$L68=""),"",IF($X68&lt;=0,"Paid in full",IF($Y68&lt;1,"On track",IF($Y68&lt;=$V68,"1 instalment behind","Behind"))))</f>
        <v/>
      </c>
      <c r="AA68" s="18">
        <f>IF($U68="Overdue",COUNTIF($U$3:$U68,"Overdue"),"")</f>
        <v/>
      </c>
    </row>
    <row r="69">
      <c r="A69" s="4" t="n"/>
      <c r="B69" s="4" t="n"/>
      <c r="C69" s="4" t="n"/>
      <c r="D69" s="4" t="n"/>
      <c r="E69" s="5" t="n"/>
      <c r="F69" s="6" t="n"/>
      <c r="G69" s="6" t="n"/>
      <c r="H69" s="5" t="n"/>
      <c r="I69" s="5" t="n"/>
      <c r="J69" s="6" t="n"/>
      <c r="K69" s="6" t="n"/>
      <c r="L69" s="14" t="n"/>
      <c r="M69" s="14" t="n"/>
      <c r="N69" s="6" t="n"/>
      <c r="O69" s="14" t="n"/>
      <c r="P69" s="4" t="n"/>
      <c r="Q69" s="15">
        <f>IF($E69="","",ROUND(('Settings'!$B$6-$E69)/30.4375,1))</f>
        <v/>
      </c>
      <c r="R69" s="16">
        <f>IF(OR($E69="",N($F69)=0),"",$Q69/$F69)</f>
        <v/>
      </c>
      <c r="S69" s="16">
        <f>IF(N($K69)=0,"",N($J69)/$K69)</f>
        <v/>
      </c>
      <c r="T69" s="17">
        <f>IF(OR($H69="",$G69=""),"",$H69+$G69*7)</f>
        <v/>
      </c>
      <c r="U69" s="9">
        <f>IF(OR($A69="",NOT(OR($P69="Active",$P69="Retention"))),"",IF(AND($I69&lt;&gt;"",$I69&gt;='Settings'!$B$6),"Booked",IF($T69="","",IF('Settings'!$B$6&gt;$T69+'Settings'!$B$7,"Overdue",IF($T69&lt;='Settings'!$B$6+7,"Due this week","On schedule")))))</f>
        <v/>
      </c>
      <c r="V69" s="15">
        <f>IF(OR($L69="",N($N69)=0),"",($L69-N($M69))/$N69)</f>
        <v/>
      </c>
      <c r="W69" s="15">
        <f>IF(OR($L69="",$E69=""),"",MIN($L69,N($M69)+N($V69)*MIN(N($N69),MAX(0,((YEAR('Settings'!$B$6)-YEAR($E69))*12+MONTH('Settings'!$B$6)-MONTH($E69)-IF(DAY('Settings'!$B$6)&lt;DAY($E69),1,0))))))</f>
        <v/>
      </c>
      <c r="X69" s="15">
        <f>IF($L69="","",$L69-N($O69))</f>
        <v/>
      </c>
      <c r="Y69" s="15">
        <f>IF($W69="","",MAX(0,$W69-N($O69)))</f>
        <v/>
      </c>
      <c r="Z69" s="9">
        <f>IF(OR($A69="",$L69=""),"",IF($X69&lt;=0,"Paid in full",IF($Y69&lt;1,"On track",IF($Y69&lt;=$V69,"1 instalment behind","Behind"))))</f>
        <v/>
      </c>
      <c r="AA69" s="18">
        <f>IF($U69="Overdue",COUNTIF($U$3:$U69,"Overdue"),"")</f>
        <v/>
      </c>
    </row>
    <row r="70">
      <c r="A70" s="4" t="n"/>
      <c r="B70" s="4" t="n"/>
      <c r="C70" s="4" t="n"/>
      <c r="D70" s="4" t="n"/>
      <c r="E70" s="5" t="n"/>
      <c r="F70" s="6" t="n"/>
      <c r="G70" s="6" t="n"/>
      <c r="H70" s="5" t="n"/>
      <c r="I70" s="5" t="n"/>
      <c r="J70" s="6" t="n"/>
      <c r="K70" s="6" t="n"/>
      <c r="L70" s="14" t="n"/>
      <c r="M70" s="14" t="n"/>
      <c r="N70" s="6" t="n"/>
      <c r="O70" s="14" t="n"/>
      <c r="P70" s="4" t="n"/>
      <c r="Q70" s="15">
        <f>IF($E70="","",ROUND(('Settings'!$B$6-$E70)/30.4375,1))</f>
        <v/>
      </c>
      <c r="R70" s="16">
        <f>IF(OR($E70="",N($F70)=0),"",$Q70/$F70)</f>
        <v/>
      </c>
      <c r="S70" s="16">
        <f>IF(N($K70)=0,"",N($J70)/$K70)</f>
        <v/>
      </c>
      <c r="T70" s="17">
        <f>IF(OR($H70="",$G70=""),"",$H70+$G70*7)</f>
        <v/>
      </c>
      <c r="U70" s="9">
        <f>IF(OR($A70="",NOT(OR($P70="Active",$P70="Retention"))),"",IF(AND($I70&lt;&gt;"",$I70&gt;='Settings'!$B$6),"Booked",IF($T70="","",IF('Settings'!$B$6&gt;$T70+'Settings'!$B$7,"Overdue",IF($T70&lt;='Settings'!$B$6+7,"Due this week","On schedule")))))</f>
        <v/>
      </c>
      <c r="V70" s="15">
        <f>IF(OR($L70="",N($N70)=0),"",($L70-N($M70))/$N70)</f>
        <v/>
      </c>
      <c r="W70" s="15">
        <f>IF(OR($L70="",$E70=""),"",MIN($L70,N($M70)+N($V70)*MIN(N($N70),MAX(0,((YEAR('Settings'!$B$6)-YEAR($E70))*12+MONTH('Settings'!$B$6)-MONTH($E70)-IF(DAY('Settings'!$B$6)&lt;DAY($E70),1,0))))))</f>
        <v/>
      </c>
      <c r="X70" s="15">
        <f>IF($L70="","",$L70-N($O70))</f>
        <v/>
      </c>
      <c r="Y70" s="15">
        <f>IF($W70="","",MAX(0,$W70-N($O70)))</f>
        <v/>
      </c>
      <c r="Z70" s="9">
        <f>IF(OR($A70="",$L70=""),"",IF($X70&lt;=0,"Paid in full",IF($Y70&lt;1,"On track",IF($Y70&lt;=$V70,"1 instalment behind","Behind"))))</f>
        <v/>
      </c>
      <c r="AA70" s="18">
        <f>IF($U70="Overdue",COUNTIF($U$3:$U70,"Overdue"),"")</f>
        <v/>
      </c>
    </row>
    <row r="71">
      <c r="A71" s="4" t="n"/>
      <c r="B71" s="4" t="n"/>
      <c r="C71" s="4" t="n"/>
      <c r="D71" s="4" t="n"/>
      <c r="E71" s="5" t="n"/>
      <c r="F71" s="6" t="n"/>
      <c r="G71" s="6" t="n"/>
      <c r="H71" s="5" t="n"/>
      <c r="I71" s="5" t="n"/>
      <c r="J71" s="6" t="n"/>
      <c r="K71" s="6" t="n"/>
      <c r="L71" s="14" t="n"/>
      <c r="M71" s="14" t="n"/>
      <c r="N71" s="6" t="n"/>
      <c r="O71" s="14" t="n"/>
      <c r="P71" s="4" t="n"/>
      <c r="Q71" s="15">
        <f>IF($E71="","",ROUND(('Settings'!$B$6-$E71)/30.4375,1))</f>
        <v/>
      </c>
      <c r="R71" s="16">
        <f>IF(OR($E71="",N($F71)=0),"",$Q71/$F71)</f>
        <v/>
      </c>
      <c r="S71" s="16">
        <f>IF(N($K71)=0,"",N($J71)/$K71)</f>
        <v/>
      </c>
      <c r="T71" s="17">
        <f>IF(OR($H71="",$G71=""),"",$H71+$G71*7)</f>
        <v/>
      </c>
      <c r="U71" s="9">
        <f>IF(OR($A71="",NOT(OR($P71="Active",$P71="Retention"))),"",IF(AND($I71&lt;&gt;"",$I71&gt;='Settings'!$B$6),"Booked",IF($T71="","",IF('Settings'!$B$6&gt;$T71+'Settings'!$B$7,"Overdue",IF($T71&lt;='Settings'!$B$6+7,"Due this week","On schedule")))))</f>
        <v/>
      </c>
      <c r="V71" s="15">
        <f>IF(OR($L71="",N($N71)=0),"",($L71-N($M71))/$N71)</f>
        <v/>
      </c>
      <c r="W71" s="15">
        <f>IF(OR($L71="",$E71=""),"",MIN($L71,N($M71)+N($V71)*MIN(N($N71),MAX(0,((YEAR('Settings'!$B$6)-YEAR($E71))*12+MONTH('Settings'!$B$6)-MONTH($E71)-IF(DAY('Settings'!$B$6)&lt;DAY($E71),1,0))))))</f>
        <v/>
      </c>
      <c r="X71" s="15">
        <f>IF($L71="","",$L71-N($O71))</f>
        <v/>
      </c>
      <c r="Y71" s="15">
        <f>IF($W71="","",MAX(0,$W71-N($O71)))</f>
        <v/>
      </c>
      <c r="Z71" s="9">
        <f>IF(OR($A71="",$L71=""),"",IF($X71&lt;=0,"Paid in full",IF($Y71&lt;1,"On track",IF($Y71&lt;=$V71,"1 instalment behind","Behind"))))</f>
        <v/>
      </c>
      <c r="AA71" s="18">
        <f>IF($U71="Overdue",COUNTIF($U$3:$U71,"Overdue"),"")</f>
        <v/>
      </c>
    </row>
    <row r="72">
      <c r="A72" s="4" t="n"/>
      <c r="B72" s="4" t="n"/>
      <c r="C72" s="4" t="n"/>
      <c r="D72" s="4" t="n"/>
      <c r="E72" s="5" t="n"/>
      <c r="F72" s="6" t="n"/>
      <c r="G72" s="6" t="n"/>
      <c r="H72" s="5" t="n"/>
      <c r="I72" s="5" t="n"/>
      <c r="J72" s="6" t="n"/>
      <c r="K72" s="6" t="n"/>
      <c r="L72" s="14" t="n"/>
      <c r="M72" s="14" t="n"/>
      <c r="N72" s="6" t="n"/>
      <c r="O72" s="14" t="n"/>
      <c r="P72" s="4" t="n"/>
      <c r="Q72" s="15">
        <f>IF($E72="","",ROUND(('Settings'!$B$6-$E72)/30.4375,1))</f>
        <v/>
      </c>
      <c r="R72" s="16">
        <f>IF(OR($E72="",N($F72)=0),"",$Q72/$F72)</f>
        <v/>
      </c>
      <c r="S72" s="16">
        <f>IF(N($K72)=0,"",N($J72)/$K72)</f>
        <v/>
      </c>
      <c r="T72" s="17">
        <f>IF(OR($H72="",$G72=""),"",$H72+$G72*7)</f>
        <v/>
      </c>
      <c r="U72" s="9">
        <f>IF(OR($A72="",NOT(OR($P72="Active",$P72="Retention"))),"",IF(AND($I72&lt;&gt;"",$I72&gt;='Settings'!$B$6),"Booked",IF($T72="","",IF('Settings'!$B$6&gt;$T72+'Settings'!$B$7,"Overdue",IF($T72&lt;='Settings'!$B$6+7,"Due this week","On schedule")))))</f>
        <v/>
      </c>
      <c r="V72" s="15">
        <f>IF(OR($L72="",N($N72)=0),"",($L72-N($M72))/$N72)</f>
        <v/>
      </c>
      <c r="W72" s="15">
        <f>IF(OR($L72="",$E72=""),"",MIN($L72,N($M72)+N($V72)*MIN(N($N72),MAX(0,((YEAR('Settings'!$B$6)-YEAR($E72))*12+MONTH('Settings'!$B$6)-MONTH($E72)-IF(DAY('Settings'!$B$6)&lt;DAY($E72),1,0))))))</f>
        <v/>
      </c>
      <c r="X72" s="15">
        <f>IF($L72="","",$L72-N($O72))</f>
        <v/>
      </c>
      <c r="Y72" s="15">
        <f>IF($W72="","",MAX(0,$W72-N($O72)))</f>
        <v/>
      </c>
      <c r="Z72" s="9">
        <f>IF(OR($A72="",$L72=""),"",IF($X72&lt;=0,"Paid in full",IF($Y72&lt;1,"On track",IF($Y72&lt;=$V72,"1 instalment behind","Behind"))))</f>
        <v/>
      </c>
      <c r="AA72" s="18">
        <f>IF($U72="Overdue",COUNTIF($U$3:$U72,"Overdue"),"")</f>
        <v/>
      </c>
    </row>
    <row r="73">
      <c r="A73" s="4" t="n"/>
      <c r="B73" s="4" t="n"/>
      <c r="C73" s="4" t="n"/>
      <c r="D73" s="4" t="n"/>
      <c r="E73" s="5" t="n"/>
      <c r="F73" s="6" t="n"/>
      <c r="G73" s="6" t="n"/>
      <c r="H73" s="5" t="n"/>
      <c r="I73" s="5" t="n"/>
      <c r="J73" s="6" t="n"/>
      <c r="K73" s="6" t="n"/>
      <c r="L73" s="14" t="n"/>
      <c r="M73" s="14" t="n"/>
      <c r="N73" s="6" t="n"/>
      <c r="O73" s="14" t="n"/>
      <c r="P73" s="4" t="n"/>
      <c r="Q73" s="15">
        <f>IF($E73="","",ROUND(('Settings'!$B$6-$E73)/30.4375,1))</f>
        <v/>
      </c>
      <c r="R73" s="16">
        <f>IF(OR($E73="",N($F73)=0),"",$Q73/$F73)</f>
        <v/>
      </c>
      <c r="S73" s="16">
        <f>IF(N($K73)=0,"",N($J73)/$K73)</f>
        <v/>
      </c>
      <c r="T73" s="17">
        <f>IF(OR($H73="",$G73=""),"",$H73+$G73*7)</f>
        <v/>
      </c>
      <c r="U73" s="9">
        <f>IF(OR($A73="",NOT(OR($P73="Active",$P73="Retention"))),"",IF(AND($I73&lt;&gt;"",$I73&gt;='Settings'!$B$6),"Booked",IF($T73="","",IF('Settings'!$B$6&gt;$T73+'Settings'!$B$7,"Overdue",IF($T73&lt;='Settings'!$B$6+7,"Due this week","On schedule")))))</f>
        <v/>
      </c>
      <c r="V73" s="15">
        <f>IF(OR($L73="",N($N73)=0),"",($L73-N($M73))/$N73)</f>
        <v/>
      </c>
      <c r="W73" s="15">
        <f>IF(OR($L73="",$E73=""),"",MIN($L73,N($M73)+N($V73)*MIN(N($N73),MAX(0,((YEAR('Settings'!$B$6)-YEAR($E73))*12+MONTH('Settings'!$B$6)-MONTH($E73)-IF(DAY('Settings'!$B$6)&lt;DAY($E73),1,0))))))</f>
        <v/>
      </c>
      <c r="X73" s="15">
        <f>IF($L73="","",$L73-N($O73))</f>
        <v/>
      </c>
      <c r="Y73" s="15">
        <f>IF($W73="","",MAX(0,$W73-N($O73)))</f>
        <v/>
      </c>
      <c r="Z73" s="9">
        <f>IF(OR($A73="",$L73=""),"",IF($X73&lt;=0,"Paid in full",IF($Y73&lt;1,"On track",IF($Y73&lt;=$V73,"1 instalment behind","Behind"))))</f>
        <v/>
      </c>
      <c r="AA73" s="18">
        <f>IF($U73="Overdue",COUNTIF($U$3:$U73,"Overdue"),"")</f>
        <v/>
      </c>
    </row>
    <row r="74">
      <c r="A74" s="4" t="n"/>
      <c r="B74" s="4" t="n"/>
      <c r="C74" s="4" t="n"/>
      <c r="D74" s="4" t="n"/>
      <c r="E74" s="5" t="n"/>
      <c r="F74" s="6" t="n"/>
      <c r="G74" s="6" t="n"/>
      <c r="H74" s="5" t="n"/>
      <c r="I74" s="5" t="n"/>
      <c r="J74" s="6" t="n"/>
      <c r="K74" s="6" t="n"/>
      <c r="L74" s="14" t="n"/>
      <c r="M74" s="14" t="n"/>
      <c r="N74" s="6" t="n"/>
      <c r="O74" s="14" t="n"/>
      <c r="P74" s="4" t="n"/>
      <c r="Q74" s="15">
        <f>IF($E74="","",ROUND(('Settings'!$B$6-$E74)/30.4375,1))</f>
        <v/>
      </c>
      <c r="R74" s="16">
        <f>IF(OR($E74="",N($F74)=0),"",$Q74/$F74)</f>
        <v/>
      </c>
      <c r="S74" s="16">
        <f>IF(N($K74)=0,"",N($J74)/$K74)</f>
        <v/>
      </c>
      <c r="T74" s="17">
        <f>IF(OR($H74="",$G74=""),"",$H74+$G74*7)</f>
        <v/>
      </c>
      <c r="U74" s="9">
        <f>IF(OR($A74="",NOT(OR($P74="Active",$P74="Retention"))),"",IF(AND($I74&lt;&gt;"",$I74&gt;='Settings'!$B$6),"Booked",IF($T74="","",IF('Settings'!$B$6&gt;$T74+'Settings'!$B$7,"Overdue",IF($T74&lt;='Settings'!$B$6+7,"Due this week","On schedule")))))</f>
        <v/>
      </c>
      <c r="V74" s="15">
        <f>IF(OR($L74="",N($N74)=0),"",($L74-N($M74))/$N74)</f>
        <v/>
      </c>
      <c r="W74" s="15">
        <f>IF(OR($L74="",$E74=""),"",MIN($L74,N($M74)+N($V74)*MIN(N($N74),MAX(0,((YEAR('Settings'!$B$6)-YEAR($E74))*12+MONTH('Settings'!$B$6)-MONTH($E74)-IF(DAY('Settings'!$B$6)&lt;DAY($E74),1,0))))))</f>
        <v/>
      </c>
      <c r="X74" s="15">
        <f>IF($L74="","",$L74-N($O74))</f>
        <v/>
      </c>
      <c r="Y74" s="15">
        <f>IF($W74="","",MAX(0,$W74-N($O74)))</f>
        <v/>
      </c>
      <c r="Z74" s="9">
        <f>IF(OR($A74="",$L74=""),"",IF($X74&lt;=0,"Paid in full",IF($Y74&lt;1,"On track",IF($Y74&lt;=$V74,"1 instalment behind","Behind"))))</f>
        <v/>
      </c>
      <c r="AA74" s="18">
        <f>IF($U74="Overdue",COUNTIF($U$3:$U74,"Overdue"),"")</f>
        <v/>
      </c>
    </row>
    <row r="75">
      <c r="A75" s="4" t="n"/>
      <c r="B75" s="4" t="n"/>
      <c r="C75" s="4" t="n"/>
      <c r="D75" s="4" t="n"/>
      <c r="E75" s="5" t="n"/>
      <c r="F75" s="6" t="n"/>
      <c r="G75" s="6" t="n"/>
      <c r="H75" s="5" t="n"/>
      <c r="I75" s="5" t="n"/>
      <c r="J75" s="6" t="n"/>
      <c r="K75" s="6" t="n"/>
      <c r="L75" s="14" t="n"/>
      <c r="M75" s="14" t="n"/>
      <c r="N75" s="6" t="n"/>
      <c r="O75" s="14" t="n"/>
      <c r="P75" s="4" t="n"/>
      <c r="Q75" s="15">
        <f>IF($E75="","",ROUND(('Settings'!$B$6-$E75)/30.4375,1))</f>
        <v/>
      </c>
      <c r="R75" s="16">
        <f>IF(OR($E75="",N($F75)=0),"",$Q75/$F75)</f>
        <v/>
      </c>
      <c r="S75" s="16">
        <f>IF(N($K75)=0,"",N($J75)/$K75)</f>
        <v/>
      </c>
      <c r="T75" s="17">
        <f>IF(OR($H75="",$G75=""),"",$H75+$G75*7)</f>
        <v/>
      </c>
      <c r="U75" s="9">
        <f>IF(OR($A75="",NOT(OR($P75="Active",$P75="Retention"))),"",IF(AND($I75&lt;&gt;"",$I75&gt;='Settings'!$B$6),"Booked",IF($T75="","",IF('Settings'!$B$6&gt;$T75+'Settings'!$B$7,"Overdue",IF($T75&lt;='Settings'!$B$6+7,"Due this week","On schedule")))))</f>
        <v/>
      </c>
      <c r="V75" s="15">
        <f>IF(OR($L75="",N($N75)=0),"",($L75-N($M75))/$N75)</f>
        <v/>
      </c>
      <c r="W75" s="15">
        <f>IF(OR($L75="",$E75=""),"",MIN($L75,N($M75)+N($V75)*MIN(N($N75),MAX(0,((YEAR('Settings'!$B$6)-YEAR($E75))*12+MONTH('Settings'!$B$6)-MONTH($E75)-IF(DAY('Settings'!$B$6)&lt;DAY($E75),1,0))))))</f>
        <v/>
      </c>
      <c r="X75" s="15">
        <f>IF($L75="","",$L75-N($O75))</f>
        <v/>
      </c>
      <c r="Y75" s="15">
        <f>IF($W75="","",MAX(0,$W75-N($O75)))</f>
        <v/>
      </c>
      <c r="Z75" s="9">
        <f>IF(OR($A75="",$L75=""),"",IF($X75&lt;=0,"Paid in full",IF($Y75&lt;1,"On track",IF($Y75&lt;=$V75,"1 instalment behind","Behind"))))</f>
        <v/>
      </c>
      <c r="AA75" s="18">
        <f>IF($U75="Overdue",COUNTIF($U$3:$U75,"Overdue"),"")</f>
        <v/>
      </c>
    </row>
    <row r="76">
      <c r="A76" s="4" t="n"/>
      <c r="B76" s="4" t="n"/>
      <c r="C76" s="4" t="n"/>
      <c r="D76" s="4" t="n"/>
      <c r="E76" s="5" t="n"/>
      <c r="F76" s="6" t="n"/>
      <c r="G76" s="6" t="n"/>
      <c r="H76" s="5" t="n"/>
      <c r="I76" s="5" t="n"/>
      <c r="J76" s="6" t="n"/>
      <c r="K76" s="6" t="n"/>
      <c r="L76" s="14" t="n"/>
      <c r="M76" s="14" t="n"/>
      <c r="N76" s="6" t="n"/>
      <c r="O76" s="14" t="n"/>
      <c r="P76" s="4" t="n"/>
      <c r="Q76" s="15">
        <f>IF($E76="","",ROUND(('Settings'!$B$6-$E76)/30.4375,1))</f>
        <v/>
      </c>
      <c r="R76" s="16">
        <f>IF(OR($E76="",N($F76)=0),"",$Q76/$F76)</f>
        <v/>
      </c>
      <c r="S76" s="16">
        <f>IF(N($K76)=0,"",N($J76)/$K76)</f>
        <v/>
      </c>
      <c r="T76" s="17">
        <f>IF(OR($H76="",$G76=""),"",$H76+$G76*7)</f>
        <v/>
      </c>
      <c r="U76" s="9">
        <f>IF(OR($A76="",NOT(OR($P76="Active",$P76="Retention"))),"",IF(AND($I76&lt;&gt;"",$I76&gt;='Settings'!$B$6),"Booked",IF($T76="","",IF('Settings'!$B$6&gt;$T76+'Settings'!$B$7,"Overdue",IF($T76&lt;='Settings'!$B$6+7,"Due this week","On schedule")))))</f>
        <v/>
      </c>
      <c r="V76" s="15">
        <f>IF(OR($L76="",N($N76)=0),"",($L76-N($M76))/$N76)</f>
        <v/>
      </c>
      <c r="W76" s="15">
        <f>IF(OR($L76="",$E76=""),"",MIN($L76,N($M76)+N($V76)*MIN(N($N76),MAX(0,((YEAR('Settings'!$B$6)-YEAR($E76))*12+MONTH('Settings'!$B$6)-MONTH($E76)-IF(DAY('Settings'!$B$6)&lt;DAY($E76),1,0))))))</f>
        <v/>
      </c>
      <c r="X76" s="15">
        <f>IF($L76="","",$L76-N($O76))</f>
        <v/>
      </c>
      <c r="Y76" s="15">
        <f>IF($W76="","",MAX(0,$W76-N($O76)))</f>
        <v/>
      </c>
      <c r="Z76" s="9">
        <f>IF(OR($A76="",$L76=""),"",IF($X76&lt;=0,"Paid in full",IF($Y76&lt;1,"On track",IF($Y76&lt;=$V76,"1 instalment behind","Behind"))))</f>
        <v/>
      </c>
      <c r="AA76" s="18">
        <f>IF($U76="Overdue",COUNTIF($U$3:$U76,"Overdue"),"")</f>
        <v/>
      </c>
    </row>
    <row r="77">
      <c r="A77" s="4" t="n"/>
      <c r="B77" s="4" t="n"/>
      <c r="C77" s="4" t="n"/>
      <c r="D77" s="4" t="n"/>
      <c r="E77" s="5" t="n"/>
      <c r="F77" s="6" t="n"/>
      <c r="G77" s="6" t="n"/>
      <c r="H77" s="5" t="n"/>
      <c r="I77" s="5" t="n"/>
      <c r="J77" s="6" t="n"/>
      <c r="K77" s="6" t="n"/>
      <c r="L77" s="14" t="n"/>
      <c r="M77" s="14" t="n"/>
      <c r="N77" s="6" t="n"/>
      <c r="O77" s="14" t="n"/>
      <c r="P77" s="4" t="n"/>
      <c r="Q77" s="15">
        <f>IF($E77="","",ROUND(('Settings'!$B$6-$E77)/30.4375,1))</f>
        <v/>
      </c>
      <c r="R77" s="16">
        <f>IF(OR($E77="",N($F77)=0),"",$Q77/$F77)</f>
        <v/>
      </c>
      <c r="S77" s="16">
        <f>IF(N($K77)=0,"",N($J77)/$K77)</f>
        <v/>
      </c>
      <c r="T77" s="17">
        <f>IF(OR($H77="",$G77=""),"",$H77+$G77*7)</f>
        <v/>
      </c>
      <c r="U77" s="9">
        <f>IF(OR($A77="",NOT(OR($P77="Active",$P77="Retention"))),"",IF(AND($I77&lt;&gt;"",$I77&gt;='Settings'!$B$6),"Booked",IF($T77="","",IF('Settings'!$B$6&gt;$T77+'Settings'!$B$7,"Overdue",IF($T77&lt;='Settings'!$B$6+7,"Due this week","On schedule")))))</f>
        <v/>
      </c>
      <c r="V77" s="15">
        <f>IF(OR($L77="",N($N77)=0),"",($L77-N($M77))/$N77)</f>
        <v/>
      </c>
      <c r="W77" s="15">
        <f>IF(OR($L77="",$E77=""),"",MIN($L77,N($M77)+N($V77)*MIN(N($N77),MAX(0,((YEAR('Settings'!$B$6)-YEAR($E77))*12+MONTH('Settings'!$B$6)-MONTH($E77)-IF(DAY('Settings'!$B$6)&lt;DAY($E77),1,0))))))</f>
        <v/>
      </c>
      <c r="X77" s="15">
        <f>IF($L77="","",$L77-N($O77))</f>
        <v/>
      </c>
      <c r="Y77" s="15">
        <f>IF($W77="","",MAX(0,$W77-N($O77)))</f>
        <v/>
      </c>
      <c r="Z77" s="9">
        <f>IF(OR($A77="",$L77=""),"",IF($X77&lt;=0,"Paid in full",IF($Y77&lt;1,"On track",IF($Y77&lt;=$V77,"1 instalment behind","Behind"))))</f>
        <v/>
      </c>
      <c r="AA77" s="18">
        <f>IF($U77="Overdue",COUNTIF($U$3:$U77,"Overdue"),"")</f>
        <v/>
      </c>
    </row>
    <row r="78">
      <c r="A78" s="4" t="n"/>
      <c r="B78" s="4" t="n"/>
      <c r="C78" s="4" t="n"/>
      <c r="D78" s="4" t="n"/>
      <c r="E78" s="5" t="n"/>
      <c r="F78" s="6" t="n"/>
      <c r="G78" s="6" t="n"/>
      <c r="H78" s="5" t="n"/>
      <c r="I78" s="5" t="n"/>
      <c r="J78" s="6" t="n"/>
      <c r="K78" s="6" t="n"/>
      <c r="L78" s="14" t="n"/>
      <c r="M78" s="14" t="n"/>
      <c r="N78" s="6" t="n"/>
      <c r="O78" s="14" t="n"/>
      <c r="P78" s="4" t="n"/>
      <c r="Q78" s="15">
        <f>IF($E78="","",ROUND(('Settings'!$B$6-$E78)/30.4375,1))</f>
        <v/>
      </c>
      <c r="R78" s="16">
        <f>IF(OR($E78="",N($F78)=0),"",$Q78/$F78)</f>
        <v/>
      </c>
      <c r="S78" s="16">
        <f>IF(N($K78)=0,"",N($J78)/$K78)</f>
        <v/>
      </c>
      <c r="T78" s="17">
        <f>IF(OR($H78="",$G78=""),"",$H78+$G78*7)</f>
        <v/>
      </c>
      <c r="U78" s="9">
        <f>IF(OR($A78="",NOT(OR($P78="Active",$P78="Retention"))),"",IF(AND($I78&lt;&gt;"",$I78&gt;='Settings'!$B$6),"Booked",IF($T78="","",IF('Settings'!$B$6&gt;$T78+'Settings'!$B$7,"Overdue",IF($T78&lt;='Settings'!$B$6+7,"Due this week","On schedule")))))</f>
        <v/>
      </c>
      <c r="V78" s="15">
        <f>IF(OR($L78="",N($N78)=0),"",($L78-N($M78))/$N78)</f>
        <v/>
      </c>
      <c r="W78" s="15">
        <f>IF(OR($L78="",$E78=""),"",MIN($L78,N($M78)+N($V78)*MIN(N($N78),MAX(0,((YEAR('Settings'!$B$6)-YEAR($E78))*12+MONTH('Settings'!$B$6)-MONTH($E78)-IF(DAY('Settings'!$B$6)&lt;DAY($E78),1,0))))))</f>
        <v/>
      </c>
      <c r="X78" s="15">
        <f>IF($L78="","",$L78-N($O78))</f>
        <v/>
      </c>
      <c r="Y78" s="15">
        <f>IF($W78="","",MAX(0,$W78-N($O78)))</f>
        <v/>
      </c>
      <c r="Z78" s="9">
        <f>IF(OR($A78="",$L78=""),"",IF($X78&lt;=0,"Paid in full",IF($Y78&lt;1,"On track",IF($Y78&lt;=$V78,"1 instalment behind","Behind"))))</f>
        <v/>
      </c>
      <c r="AA78" s="18">
        <f>IF($U78="Overdue",COUNTIF($U$3:$U78,"Overdue"),"")</f>
        <v/>
      </c>
    </row>
    <row r="79">
      <c r="A79" s="4" t="n"/>
      <c r="B79" s="4" t="n"/>
      <c r="C79" s="4" t="n"/>
      <c r="D79" s="4" t="n"/>
      <c r="E79" s="5" t="n"/>
      <c r="F79" s="6" t="n"/>
      <c r="G79" s="6" t="n"/>
      <c r="H79" s="5" t="n"/>
      <c r="I79" s="5" t="n"/>
      <c r="J79" s="6" t="n"/>
      <c r="K79" s="6" t="n"/>
      <c r="L79" s="14" t="n"/>
      <c r="M79" s="14" t="n"/>
      <c r="N79" s="6" t="n"/>
      <c r="O79" s="14" t="n"/>
      <c r="P79" s="4" t="n"/>
      <c r="Q79" s="15">
        <f>IF($E79="","",ROUND(('Settings'!$B$6-$E79)/30.4375,1))</f>
        <v/>
      </c>
      <c r="R79" s="16">
        <f>IF(OR($E79="",N($F79)=0),"",$Q79/$F79)</f>
        <v/>
      </c>
      <c r="S79" s="16">
        <f>IF(N($K79)=0,"",N($J79)/$K79)</f>
        <v/>
      </c>
      <c r="T79" s="17">
        <f>IF(OR($H79="",$G79=""),"",$H79+$G79*7)</f>
        <v/>
      </c>
      <c r="U79" s="9">
        <f>IF(OR($A79="",NOT(OR($P79="Active",$P79="Retention"))),"",IF(AND($I79&lt;&gt;"",$I79&gt;='Settings'!$B$6),"Booked",IF($T79="","",IF('Settings'!$B$6&gt;$T79+'Settings'!$B$7,"Overdue",IF($T79&lt;='Settings'!$B$6+7,"Due this week","On schedule")))))</f>
        <v/>
      </c>
      <c r="V79" s="15">
        <f>IF(OR($L79="",N($N79)=0),"",($L79-N($M79))/$N79)</f>
        <v/>
      </c>
      <c r="W79" s="15">
        <f>IF(OR($L79="",$E79=""),"",MIN($L79,N($M79)+N($V79)*MIN(N($N79),MAX(0,((YEAR('Settings'!$B$6)-YEAR($E79))*12+MONTH('Settings'!$B$6)-MONTH($E79)-IF(DAY('Settings'!$B$6)&lt;DAY($E79),1,0))))))</f>
        <v/>
      </c>
      <c r="X79" s="15">
        <f>IF($L79="","",$L79-N($O79))</f>
        <v/>
      </c>
      <c r="Y79" s="15">
        <f>IF($W79="","",MAX(0,$W79-N($O79)))</f>
        <v/>
      </c>
      <c r="Z79" s="9">
        <f>IF(OR($A79="",$L79=""),"",IF($X79&lt;=0,"Paid in full",IF($Y79&lt;1,"On track",IF($Y79&lt;=$V79,"1 instalment behind","Behind"))))</f>
        <v/>
      </c>
      <c r="AA79" s="18">
        <f>IF($U79="Overdue",COUNTIF($U$3:$U79,"Overdue"),"")</f>
        <v/>
      </c>
    </row>
    <row r="80">
      <c r="A80" s="4" t="n"/>
      <c r="B80" s="4" t="n"/>
      <c r="C80" s="4" t="n"/>
      <c r="D80" s="4" t="n"/>
      <c r="E80" s="5" t="n"/>
      <c r="F80" s="6" t="n"/>
      <c r="G80" s="6" t="n"/>
      <c r="H80" s="5" t="n"/>
      <c r="I80" s="5" t="n"/>
      <c r="J80" s="6" t="n"/>
      <c r="K80" s="6" t="n"/>
      <c r="L80" s="14" t="n"/>
      <c r="M80" s="14" t="n"/>
      <c r="N80" s="6" t="n"/>
      <c r="O80" s="14" t="n"/>
      <c r="P80" s="4" t="n"/>
      <c r="Q80" s="15">
        <f>IF($E80="","",ROUND(('Settings'!$B$6-$E80)/30.4375,1))</f>
        <v/>
      </c>
      <c r="R80" s="16">
        <f>IF(OR($E80="",N($F80)=0),"",$Q80/$F80)</f>
        <v/>
      </c>
      <c r="S80" s="16">
        <f>IF(N($K80)=0,"",N($J80)/$K80)</f>
        <v/>
      </c>
      <c r="T80" s="17">
        <f>IF(OR($H80="",$G80=""),"",$H80+$G80*7)</f>
        <v/>
      </c>
      <c r="U80" s="9">
        <f>IF(OR($A80="",NOT(OR($P80="Active",$P80="Retention"))),"",IF(AND($I80&lt;&gt;"",$I80&gt;='Settings'!$B$6),"Booked",IF($T80="","",IF('Settings'!$B$6&gt;$T80+'Settings'!$B$7,"Overdue",IF($T80&lt;='Settings'!$B$6+7,"Due this week","On schedule")))))</f>
        <v/>
      </c>
      <c r="V80" s="15">
        <f>IF(OR($L80="",N($N80)=0),"",($L80-N($M80))/$N80)</f>
        <v/>
      </c>
      <c r="W80" s="15">
        <f>IF(OR($L80="",$E80=""),"",MIN($L80,N($M80)+N($V80)*MIN(N($N80),MAX(0,((YEAR('Settings'!$B$6)-YEAR($E80))*12+MONTH('Settings'!$B$6)-MONTH($E80)-IF(DAY('Settings'!$B$6)&lt;DAY($E80),1,0))))))</f>
        <v/>
      </c>
      <c r="X80" s="15">
        <f>IF($L80="","",$L80-N($O80))</f>
        <v/>
      </c>
      <c r="Y80" s="15">
        <f>IF($W80="","",MAX(0,$W80-N($O80)))</f>
        <v/>
      </c>
      <c r="Z80" s="9">
        <f>IF(OR($A80="",$L80=""),"",IF($X80&lt;=0,"Paid in full",IF($Y80&lt;1,"On track",IF($Y80&lt;=$V80,"1 instalment behind","Behind"))))</f>
        <v/>
      </c>
      <c r="AA80" s="18">
        <f>IF($U80="Overdue",COUNTIF($U$3:$U80,"Overdue"),"")</f>
        <v/>
      </c>
    </row>
    <row r="81">
      <c r="A81" s="4" t="n"/>
      <c r="B81" s="4" t="n"/>
      <c r="C81" s="4" t="n"/>
      <c r="D81" s="4" t="n"/>
      <c r="E81" s="5" t="n"/>
      <c r="F81" s="6" t="n"/>
      <c r="G81" s="6" t="n"/>
      <c r="H81" s="5" t="n"/>
      <c r="I81" s="5" t="n"/>
      <c r="J81" s="6" t="n"/>
      <c r="K81" s="6" t="n"/>
      <c r="L81" s="14" t="n"/>
      <c r="M81" s="14" t="n"/>
      <c r="N81" s="6" t="n"/>
      <c r="O81" s="14" t="n"/>
      <c r="P81" s="4" t="n"/>
      <c r="Q81" s="15">
        <f>IF($E81="","",ROUND(('Settings'!$B$6-$E81)/30.4375,1))</f>
        <v/>
      </c>
      <c r="R81" s="16">
        <f>IF(OR($E81="",N($F81)=0),"",$Q81/$F81)</f>
        <v/>
      </c>
      <c r="S81" s="16">
        <f>IF(N($K81)=0,"",N($J81)/$K81)</f>
        <v/>
      </c>
      <c r="T81" s="17">
        <f>IF(OR($H81="",$G81=""),"",$H81+$G81*7)</f>
        <v/>
      </c>
      <c r="U81" s="9">
        <f>IF(OR($A81="",NOT(OR($P81="Active",$P81="Retention"))),"",IF(AND($I81&lt;&gt;"",$I81&gt;='Settings'!$B$6),"Booked",IF($T81="","",IF('Settings'!$B$6&gt;$T81+'Settings'!$B$7,"Overdue",IF($T81&lt;='Settings'!$B$6+7,"Due this week","On schedule")))))</f>
        <v/>
      </c>
      <c r="V81" s="15">
        <f>IF(OR($L81="",N($N81)=0),"",($L81-N($M81))/$N81)</f>
        <v/>
      </c>
      <c r="W81" s="15">
        <f>IF(OR($L81="",$E81=""),"",MIN($L81,N($M81)+N($V81)*MIN(N($N81),MAX(0,((YEAR('Settings'!$B$6)-YEAR($E81))*12+MONTH('Settings'!$B$6)-MONTH($E81)-IF(DAY('Settings'!$B$6)&lt;DAY($E81),1,0))))))</f>
        <v/>
      </c>
      <c r="X81" s="15">
        <f>IF($L81="","",$L81-N($O81))</f>
        <v/>
      </c>
      <c r="Y81" s="15">
        <f>IF($W81="","",MAX(0,$W81-N($O81)))</f>
        <v/>
      </c>
      <c r="Z81" s="9">
        <f>IF(OR($A81="",$L81=""),"",IF($X81&lt;=0,"Paid in full",IF($Y81&lt;1,"On track",IF($Y81&lt;=$V81,"1 instalment behind","Behind"))))</f>
        <v/>
      </c>
      <c r="AA81" s="18">
        <f>IF($U81="Overdue",COUNTIF($U$3:$U81,"Overdue"),"")</f>
        <v/>
      </c>
    </row>
    <row r="82">
      <c r="A82" s="4" t="n"/>
      <c r="B82" s="4" t="n"/>
      <c r="C82" s="4" t="n"/>
      <c r="D82" s="4" t="n"/>
      <c r="E82" s="5" t="n"/>
      <c r="F82" s="6" t="n"/>
      <c r="G82" s="6" t="n"/>
      <c r="H82" s="5" t="n"/>
      <c r="I82" s="5" t="n"/>
      <c r="J82" s="6" t="n"/>
      <c r="K82" s="6" t="n"/>
      <c r="L82" s="14" t="n"/>
      <c r="M82" s="14" t="n"/>
      <c r="N82" s="6" t="n"/>
      <c r="O82" s="14" t="n"/>
      <c r="P82" s="4" t="n"/>
      <c r="Q82" s="15">
        <f>IF($E82="","",ROUND(('Settings'!$B$6-$E82)/30.4375,1))</f>
        <v/>
      </c>
      <c r="R82" s="16">
        <f>IF(OR($E82="",N($F82)=0),"",$Q82/$F82)</f>
        <v/>
      </c>
      <c r="S82" s="16">
        <f>IF(N($K82)=0,"",N($J82)/$K82)</f>
        <v/>
      </c>
      <c r="T82" s="17">
        <f>IF(OR($H82="",$G82=""),"",$H82+$G82*7)</f>
        <v/>
      </c>
      <c r="U82" s="9">
        <f>IF(OR($A82="",NOT(OR($P82="Active",$P82="Retention"))),"",IF(AND($I82&lt;&gt;"",$I82&gt;='Settings'!$B$6),"Booked",IF($T82="","",IF('Settings'!$B$6&gt;$T82+'Settings'!$B$7,"Overdue",IF($T82&lt;='Settings'!$B$6+7,"Due this week","On schedule")))))</f>
        <v/>
      </c>
      <c r="V82" s="15">
        <f>IF(OR($L82="",N($N82)=0),"",($L82-N($M82))/$N82)</f>
        <v/>
      </c>
      <c r="W82" s="15">
        <f>IF(OR($L82="",$E82=""),"",MIN($L82,N($M82)+N($V82)*MIN(N($N82),MAX(0,((YEAR('Settings'!$B$6)-YEAR($E82))*12+MONTH('Settings'!$B$6)-MONTH($E82)-IF(DAY('Settings'!$B$6)&lt;DAY($E82),1,0))))))</f>
        <v/>
      </c>
      <c r="X82" s="15">
        <f>IF($L82="","",$L82-N($O82))</f>
        <v/>
      </c>
      <c r="Y82" s="15">
        <f>IF($W82="","",MAX(0,$W82-N($O82)))</f>
        <v/>
      </c>
      <c r="Z82" s="9">
        <f>IF(OR($A82="",$L82=""),"",IF($X82&lt;=0,"Paid in full",IF($Y82&lt;1,"On track",IF($Y82&lt;=$V82,"1 instalment behind","Behind"))))</f>
        <v/>
      </c>
      <c r="AA82" s="18">
        <f>IF($U82="Overdue",COUNTIF($U$3:$U82,"Overdue"),"")</f>
        <v/>
      </c>
    </row>
    <row r="83">
      <c r="A83" s="4" t="n"/>
      <c r="B83" s="4" t="n"/>
      <c r="C83" s="4" t="n"/>
      <c r="D83" s="4" t="n"/>
      <c r="E83" s="5" t="n"/>
      <c r="F83" s="6" t="n"/>
      <c r="G83" s="6" t="n"/>
      <c r="H83" s="5" t="n"/>
      <c r="I83" s="5" t="n"/>
      <c r="J83" s="6" t="n"/>
      <c r="K83" s="6" t="n"/>
      <c r="L83" s="14" t="n"/>
      <c r="M83" s="14" t="n"/>
      <c r="N83" s="6" t="n"/>
      <c r="O83" s="14" t="n"/>
      <c r="P83" s="4" t="n"/>
      <c r="Q83" s="15">
        <f>IF($E83="","",ROUND(('Settings'!$B$6-$E83)/30.4375,1))</f>
        <v/>
      </c>
      <c r="R83" s="16">
        <f>IF(OR($E83="",N($F83)=0),"",$Q83/$F83)</f>
        <v/>
      </c>
      <c r="S83" s="16">
        <f>IF(N($K83)=0,"",N($J83)/$K83)</f>
        <v/>
      </c>
      <c r="T83" s="17">
        <f>IF(OR($H83="",$G83=""),"",$H83+$G83*7)</f>
        <v/>
      </c>
      <c r="U83" s="9">
        <f>IF(OR($A83="",NOT(OR($P83="Active",$P83="Retention"))),"",IF(AND($I83&lt;&gt;"",$I83&gt;='Settings'!$B$6),"Booked",IF($T83="","",IF('Settings'!$B$6&gt;$T83+'Settings'!$B$7,"Overdue",IF($T83&lt;='Settings'!$B$6+7,"Due this week","On schedule")))))</f>
        <v/>
      </c>
      <c r="V83" s="15">
        <f>IF(OR($L83="",N($N83)=0),"",($L83-N($M83))/$N83)</f>
        <v/>
      </c>
      <c r="W83" s="15">
        <f>IF(OR($L83="",$E83=""),"",MIN($L83,N($M83)+N($V83)*MIN(N($N83),MAX(0,((YEAR('Settings'!$B$6)-YEAR($E83))*12+MONTH('Settings'!$B$6)-MONTH($E83)-IF(DAY('Settings'!$B$6)&lt;DAY($E83),1,0))))))</f>
        <v/>
      </c>
      <c r="X83" s="15">
        <f>IF($L83="","",$L83-N($O83))</f>
        <v/>
      </c>
      <c r="Y83" s="15">
        <f>IF($W83="","",MAX(0,$W83-N($O83)))</f>
        <v/>
      </c>
      <c r="Z83" s="9">
        <f>IF(OR($A83="",$L83=""),"",IF($X83&lt;=0,"Paid in full",IF($Y83&lt;1,"On track",IF($Y83&lt;=$V83,"1 instalment behind","Behind"))))</f>
        <v/>
      </c>
      <c r="AA83" s="18">
        <f>IF($U83="Overdue",COUNTIF($U$3:$U83,"Overdue"),"")</f>
        <v/>
      </c>
    </row>
    <row r="84">
      <c r="A84" s="4" t="n"/>
      <c r="B84" s="4" t="n"/>
      <c r="C84" s="4" t="n"/>
      <c r="D84" s="4" t="n"/>
      <c r="E84" s="5" t="n"/>
      <c r="F84" s="6" t="n"/>
      <c r="G84" s="6" t="n"/>
      <c r="H84" s="5" t="n"/>
      <c r="I84" s="5" t="n"/>
      <c r="J84" s="6" t="n"/>
      <c r="K84" s="6" t="n"/>
      <c r="L84" s="14" t="n"/>
      <c r="M84" s="14" t="n"/>
      <c r="N84" s="6" t="n"/>
      <c r="O84" s="14" t="n"/>
      <c r="P84" s="4" t="n"/>
      <c r="Q84" s="15">
        <f>IF($E84="","",ROUND(('Settings'!$B$6-$E84)/30.4375,1))</f>
        <v/>
      </c>
      <c r="R84" s="16">
        <f>IF(OR($E84="",N($F84)=0),"",$Q84/$F84)</f>
        <v/>
      </c>
      <c r="S84" s="16">
        <f>IF(N($K84)=0,"",N($J84)/$K84)</f>
        <v/>
      </c>
      <c r="T84" s="17">
        <f>IF(OR($H84="",$G84=""),"",$H84+$G84*7)</f>
        <v/>
      </c>
      <c r="U84" s="9">
        <f>IF(OR($A84="",NOT(OR($P84="Active",$P84="Retention"))),"",IF(AND($I84&lt;&gt;"",$I84&gt;='Settings'!$B$6),"Booked",IF($T84="","",IF('Settings'!$B$6&gt;$T84+'Settings'!$B$7,"Overdue",IF($T84&lt;='Settings'!$B$6+7,"Due this week","On schedule")))))</f>
        <v/>
      </c>
      <c r="V84" s="15">
        <f>IF(OR($L84="",N($N84)=0),"",($L84-N($M84))/$N84)</f>
        <v/>
      </c>
      <c r="W84" s="15">
        <f>IF(OR($L84="",$E84=""),"",MIN($L84,N($M84)+N($V84)*MIN(N($N84),MAX(0,((YEAR('Settings'!$B$6)-YEAR($E84))*12+MONTH('Settings'!$B$6)-MONTH($E84)-IF(DAY('Settings'!$B$6)&lt;DAY($E84),1,0))))))</f>
        <v/>
      </c>
      <c r="X84" s="15">
        <f>IF($L84="","",$L84-N($O84))</f>
        <v/>
      </c>
      <c r="Y84" s="15">
        <f>IF($W84="","",MAX(0,$W84-N($O84)))</f>
        <v/>
      </c>
      <c r="Z84" s="9">
        <f>IF(OR($A84="",$L84=""),"",IF($X84&lt;=0,"Paid in full",IF($Y84&lt;1,"On track",IF($Y84&lt;=$V84,"1 instalment behind","Behind"))))</f>
        <v/>
      </c>
      <c r="AA84" s="18">
        <f>IF($U84="Overdue",COUNTIF($U$3:$U84,"Overdue"),"")</f>
        <v/>
      </c>
    </row>
    <row r="85">
      <c r="A85" s="4" t="n"/>
      <c r="B85" s="4" t="n"/>
      <c r="C85" s="4" t="n"/>
      <c r="D85" s="4" t="n"/>
      <c r="E85" s="5" t="n"/>
      <c r="F85" s="6" t="n"/>
      <c r="G85" s="6" t="n"/>
      <c r="H85" s="5" t="n"/>
      <c r="I85" s="5" t="n"/>
      <c r="J85" s="6" t="n"/>
      <c r="K85" s="6" t="n"/>
      <c r="L85" s="14" t="n"/>
      <c r="M85" s="14" t="n"/>
      <c r="N85" s="6" t="n"/>
      <c r="O85" s="14" t="n"/>
      <c r="P85" s="4" t="n"/>
      <c r="Q85" s="15">
        <f>IF($E85="","",ROUND(('Settings'!$B$6-$E85)/30.4375,1))</f>
        <v/>
      </c>
      <c r="R85" s="16">
        <f>IF(OR($E85="",N($F85)=0),"",$Q85/$F85)</f>
        <v/>
      </c>
      <c r="S85" s="16">
        <f>IF(N($K85)=0,"",N($J85)/$K85)</f>
        <v/>
      </c>
      <c r="T85" s="17">
        <f>IF(OR($H85="",$G85=""),"",$H85+$G85*7)</f>
        <v/>
      </c>
      <c r="U85" s="9">
        <f>IF(OR($A85="",NOT(OR($P85="Active",$P85="Retention"))),"",IF(AND($I85&lt;&gt;"",$I85&gt;='Settings'!$B$6),"Booked",IF($T85="","",IF('Settings'!$B$6&gt;$T85+'Settings'!$B$7,"Overdue",IF($T85&lt;='Settings'!$B$6+7,"Due this week","On schedule")))))</f>
        <v/>
      </c>
      <c r="V85" s="15">
        <f>IF(OR($L85="",N($N85)=0),"",($L85-N($M85))/$N85)</f>
        <v/>
      </c>
      <c r="W85" s="15">
        <f>IF(OR($L85="",$E85=""),"",MIN($L85,N($M85)+N($V85)*MIN(N($N85),MAX(0,((YEAR('Settings'!$B$6)-YEAR($E85))*12+MONTH('Settings'!$B$6)-MONTH($E85)-IF(DAY('Settings'!$B$6)&lt;DAY($E85),1,0))))))</f>
        <v/>
      </c>
      <c r="X85" s="15">
        <f>IF($L85="","",$L85-N($O85))</f>
        <v/>
      </c>
      <c r="Y85" s="15">
        <f>IF($W85="","",MAX(0,$W85-N($O85)))</f>
        <v/>
      </c>
      <c r="Z85" s="9">
        <f>IF(OR($A85="",$L85=""),"",IF($X85&lt;=0,"Paid in full",IF($Y85&lt;1,"On track",IF($Y85&lt;=$V85,"1 instalment behind","Behind"))))</f>
        <v/>
      </c>
      <c r="AA85" s="18">
        <f>IF($U85="Overdue",COUNTIF($U$3:$U85,"Overdue"),"")</f>
        <v/>
      </c>
    </row>
    <row r="86">
      <c r="A86" s="4" t="n"/>
      <c r="B86" s="4" t="n"/>
      <c r="C86" s="4" t="n"/>
      <c r="D86" s="4" t="n"/>
      <c r="E86" s="5" t="n"/>
      <c r="F86" s="6" t="n"/>
      <c r="G86" s="6" t="n"/>
      <c r="H86" s="5" t="n"/>
      <c r="I86" s="5" t="n"/>
      <c r="J86" s="6" t="n"/>
      <c r="K86" s="6" t="n"/>
      <c r="L86" s="14" t="n"/>
      <c r="M86" s="14" t="n"/>
      <c r="N86" s="6" t="n"/>
      <c r="O86" s="14" t="n"/>
      <c r="P86" s="4" t="n"/>
      <c r="Q86" s="15">
        <f>IF($E86="","",ROUND(('Settings'!$B$6-$E86)/30.4375,1))</f>
        <v/>
      </c>
      <c r="R86" s="16">
        <f>IF(OR($E86="",N($F86)=0),"",$Q86/$F86)</f>
        <v/>
      </c>
      <c r="S86" s="16">
        <f>IF(N($K86)=0,"",N($J86)/$K86)</f>
        <v/>
      </c>
      <c r="T86" s="17">
        <f>IF(OR($H86="",$G86=""),"",$H86+$G86*7)</f>
        <v/>
      </c>
      <c r="U86" s="9">
        <f>IF(OR($A86="",NOT(OR($P86="Active",$P86="Retention"))),"",IF(AND($I86&lt;&gt;"",$I86&gt;='Settings'!$B$6),"Booked",IF($T86="","",IF('Settings'!$B$6&gt;$T86+'Settings'!$B$7,"Overdue",IF($T86&lt;='Settings'!$B$6+7,"Due this week","On schedule")))))</f>
        <v/>
      </c>
      <c r="V86" s="15">
        <f>IF(OR($L86="",N($N86)=0),"",($L86-N($M86))/$N86)</f>
        <v/>
      </c>
      <c r="W86" s="15">
        <f>IF(OR($L86="",$E86=""),"",MIN($L86,N($M86)+N($V86)*MIN(N($N86),MAX(0,((YEAR('Settings'!$B$6)-YEAR($E86))*12+MONTH('Settings'!$B$6)-MONTH($E86)-IF(DAY('Settings'!$B$6)&lt;DAY($E86),1,0))))))</f>
        <v/>
      </c>
      <c r="X86" s="15">
        <f>IF($L86="","",$L86-N($O86))</f>
        <v/>
      </c>
      <c r="Y86" s="15">
        <f>IF($W86="","",MAX(0,$W86-N($O86)))</f>
        <v/>
      </c>
      <c r="Z86" s="9">
        <f>IF(OR($A86="",$L86=""),"",IF($X86&lt;=0,"Paid in full",IF($Y86&lt;1,"On track",IF($Y86&lt;=$V86,"1 instalment behind","Behind"))))</f>
        <v/>
      </c>
      <c r="AA86" s="18">
        <f>IF($U86="Overdue",COUNTIF($U$3:$U86,"Overdue"),"")</f>
        <v/>
      </c>
    </row>
    <row r="87">
      <c r="A87" s="4" t="n"/>
      <c r="B87" s="4" t="n"/>
      <c r="C87" s="4" t="n"/>
      <c r="D87" s="4" t="n"/>
      <c r="E87" s="5" t="n"/>
      <c r="F87" s="6" t="n"/>
      <c r="G87" s="6" t="n"/>
      <c r="H87" s="5" t="n"/>
      <c r="I87" s="5" t="n"/>
      <c r="J87" s="6" t="n"/>
      <c r="K87" s="6" t="n"/>
      <c r="L87" s="14" t="n"/>
      <c r="M87" s="14" t="n"/>
      <c r="N87" s="6" t="n"/>
      <c r="O87" s="14" t="n"/>
      <c r="P87" s="4" t="n"/>
      <c r="Q87" s="15">
        <f>IF($E87="","",ROUND(('Settings'!$B$6-$E87)/30.4375,1))</f>
        <v/>
      </c>
      <c r="R87" s="16">
        <f>IF(OR($E87="",N($F87)=0),"",$Q87/$F87)</f>
        <v/>
      </c>
      <c r="S87" s="16">
        <f>IF(N($K87)=0,"",N($J87)/$K87)</f>
        <v/>
      </c>
      <c r="T87" s="17">
        <f>IF(OR($H87="",$G87=""),"",$H87+$G87*7)</f>
        <v/>
      </c>
      <c r="U87" s="9">
        <f>IF(OR($A87="",NOT(OR($P87="Active",$P87="Retention"))),"",IF(AND($I87&lt;&gt;"",$I87&gt;='Settings'!$B$6),"Booked",IF($T87="","",IF('Settings'!$B$6&gt;$T87+'Settings'!$B$7,"Overdue",IF($T87&lt;='Settings'!$B$6+7,"Due this week","On schedule")))))</f>
        <v/>
      </c>
      <c r="V87" s="15">
        <f>IF(OR($L87="",N($N87)=0),"",($L87-N($M87))/$N87)</f>
        <v/>
      </c>
      <c r="W87" s="15">
        <f>IF(OR($L87="",$E87=""),"",MIN($L87,N($M87)+N($V87)*MIN(N($N87),MAX(0,((YEAR('Settings'!$B$6)-YEAR($E87))*12+MONTH('Settings'!$B$6)-MONTH($E87)-IF(DAY('Settings'!$B$6)&lt;DAY($E87),1,0))))))</f>
        <v/>
      </c>
      <c r="X87" s="15">
        <f>IF($L87="","",$L87-N($O87))</f>
        <v/>
      </c>
      <c r="Y87" s="15">
        <f>IF($W87="","",MAX(0,$W87-N($O87)))</f>
        <v/>
      </c>
      <c r="Z87" s="9">
        <f>IF(OR($A87="",$L87=""),"",IF($X87&lt;=0,"Paid in full",IF($Y87&lt;1,"On track",IF($Y87&lt;=$V87,"1 instalment behind","Behind"))))</f>
        <v/>
      </c>
      <c r="AA87" s="18">
        <f>IF($U87="Overdue",COUNTIF($U$3:$U87,"Overdue"),"")</f>
        <v/>
      </c>
    </row>
    <row r="88">
      <c r="A88" s="4" t="n"/>
      <c r="B88" s="4" t="n"/>
      <c r="C88" s="4" t="n"/>
      <c r="D88" s="4" t="n"/>
      <c r="E88" s="5" t="n"/>
      <c r="F88" s="6" t="n"/>
      <c r="G88" s="6" t="n"/>
      <c r="H88" s="5" t="n"/>
      <c r="I88" s="5" t="n"/>
      <c r="J88" s="6" t="n"/>
      <c r="K88" s="6" t="n"/>
      <c r="L88" s="14" t="n"/>
      <c r="M88" s="14" t="n"/>
      <c r="N88" s="6" t="n"/>
      <c r="O88" s="14" t="n"/>
      <c r="P88" s="4" t="n"/>
      <c r="Q88" s="15">
        <f>IF($E88="","",ROUND(('Settings'!$B$6-$E88)/30.4375,1))</f>
        <v/>
      </c>
      <c r="R88" s="16">
        <f>IF(OR($E88="",N($F88)=0),"",$Q88/$F88)</f>
        <v/>
      </c>
      <c r="S88" s="16">
        <f>IF(N($K88)=0,"",N($J88)/$K88)</f>
        <v/>
      </c>
      <c r="T88" s="17">
        <f>IF(OR($H88="",$G88=""),"",$H88+$G88*7)</f>
        <v/>
      </c>
      <c r="U88" s="9">
        <f>IF(OR($A88="",NOT(OR($P88="Active",$P88="Retention"))),"",IF(AND($I88&lt;&gt;"",$I88&gt;='Settings'!$B$6),"Booked",IF($T88="","",IF('Settings'!$B$6&gt;$T88+'Settings'!$B$7,"Overdue",IF($T88&lt;='Settings'!$B$6+7,"Due this week","On schedule")))))</f>
        <v/>
      </c>
      <c r="V88" s="15">
        <f>IF(OR($L88="",N($N88)=0),"",($L88-N($M88))/$N88)</f>
        <v/>
      </c>
      <c r="W88" s="15">
        <f>IF(OR($L88="",$E88=""),"",MIN($L88,N($M88)+N($V88)*MIN(N($N88),MAX(0,((YEAR('Settings'!$B$6)-YEAR($E88))*12+MONTH('Settings'!$B$6)-MONTH($E88)-IF(DAY('Settings'!$B$6)&lt;DAY($E88),1,0))))))</f>
        <v/>
      </c>
      <c r="X88" s="15">
        <f>IF($L88="","",$L88-N($O88))</f>
        <v/>
      </c>
      <c r="Y88" s="15">
        <f>IF($W88="","",MAX(0,$W88-N($O88)))</f>
        <v/>
      </c>
      <c r="Z88" s="9">
        <f>IF(OR($A88="",$L88=""),"",IF($X88&lt;=0,"Paid in full",IF($Y88&lt;1,"On track",IF($Y88&lt;=$V88,"1 instalment behind","Behind"))))</f>
        <v/>
      </c>
      <c r="AA88" s="18">
        <f>IF($U88="Overdue",COUNTIF($U$3:$U88,"Overdue"),"")</f>
        <v/>
      </c>
    </row>
    <row r="89">
      <c r="A89" s="4" t="n"/>
      <c r="B89" s="4" t="n"/>
      <c r="C89" s="4" t="n"/>
      <c r="D89" s="4" t="n"/>
      <c r="E89" s="5" t="n"/>
      <c r="F89" s="6" t="n"/>
      <c r="G89" s="6" t="n"/>
      <c r="H89" s="5" t="n"/>
      <c r="I89" s="5" t="n"/>
      <c r="J89" s="6" t="n"/>
      <c r="K89" s="6" t="n"/>
      <c r="L89" s="14" t="n"/>
      <c r="M89" s="14" t="n"/>
      <c r="N89" s="6" t="n"/>
      <c r="O89" s="14" t="n"/>
      <c r="P89" s="4" t="n"/>
      <c r="Q89" s="15">
        <f>IF($E89="","",ROUND(('Settings'!$B$6-$E89)/30.4375,1))</f>
        <v/>
      </c>
      <c r="R89" s="16">
        <f>IF(OR($E89="",N($F89)=0),"",$Q89/$F89)</f>
        <v/>
      </c>
      <c r="S89" s="16">
        <f>IF(N($K89)=0,"",N($J89)/$K89)</f>
        <v/>
      </c>
      <c r="T89" s="17">
        <f>IF(OR($H89="",$G89=""),"",$H89+$G89*7)</f>
        <v/>
      </c>
      <c r="U89" s="9">
        <f>IF(OR($A89="",NOT(OR($P89="Active",$P89="Retention"))),"",IF(AND($I89&lt;&gt;"",$I89&gt;='Settings'!$B$6),"Booked",IF($T89="","",IF('Settings'!$B$6&gt;$T89+'Settings'!$B$7,"Overdue",IF($T89&lt;='Settings'!$B$6+7,"Due this week","On schedule")))))</f>
        <v/>
      </c>
      <c r="V89" s="15">
        <f>IF(OR($L89="",N($N89)=0),"",($L89-N($M89))/$N89)</f>
        <v/>
      </c>
      <c r="W89" s="15">
        <f>IF(OR($L89="",$E89=""),"",MIN($L89,N($M89)+N($V89)*MIN(N($N89),MAX(0,((YEAR('Settings'!$B$6)-YEAR($E89))*12+MONTH('Settings'!$B$6)-MONTH($E89)-IF(DAY('Settings'!$B$6)&lt;DAY($E89),1,0))))))</f>
        <v/>
      </c>
      <c r="X89" s="15">
        <f>IF($L89="","",$L89-N($O89))</f>
        <v/>
      </c>
      <c r="Y89" s="15">
        <f>IF($W89="","",MAX(0,$W89-N($O89)))</f>
        <v/>
      </c>
      <c r="Z89" s="9">
        <f>IF(OR($A89="",$L89=""),"",IF($X89&lt;=0,"Paid in full",IF($Y89&lt;1,"On track",IF($Y89&lt;=$V89,"1 instalment behind","Behind"))))</f>
        <v/>
      </c>
      <c r="AA89" s="18">
        <f>IF($U89="Overdue",COUNTIF($U$3:$U89,"Overdue"),"")</f>
        <v/>
      </c>
    </row>
    <row r="90">
      <c r="A90" s="4" t="n"/>
      <c r="B90" s="4" t="n"/>
      <c r="C90" s="4" t="n"/>
      <c r="D90" s="4" t="n"/>
      <c r="E90" s="5" t="n"/>
      <c r="F90" s="6" t="n"/>
      <c r="G90" s="6" t="n"/>
      <c r="H90" s="5" t="n"/>
      <c r="I90" s="5" t="n"/>
      <c r="J90" s="6" t="n"/>
      <c r="K90" s="6" t="n"/>
      <c r="L90" s="14" t="n"/>
      <c r="M90" s="14" t="n"/>
      <c r="N90" s="6" t="n"/>
      <c r="O90" s="14" t="n"/>
      <c r="P90" s="4" t="n"/>
      <c r="Q90" s="15">
        <f>IF($E90="","",ROUND(('Settings'!$B$6-$E90)/30.4375,1))</f>
        <v/>
      </c>
      <c r="R90" s="16">
        <f>IF(OR($E90="",N($F90)=0),"",$Q90/$F90)</f>
        <v/>
      </c>
      <c r="S90" s="16">
        <f>IF(N($K90)=0,"",N($J90)/$K90)</f>
        <v/>
      </c>
      <c r="T90" s="17">
        <f>IF(OR($H90="",$G90=""),"",$H90+$G90*7)</f>
        <v/>
      </c>
      <c r="U90" s="9">
        <f>IF(OR($A90="",NOT(OR($P90="Active",$P90="Retention"))),"",IF(AND($I90&lt;&gt;"",$I90&gt;='Settings'!$B$6),"Booked",IF($T90="","",IF('Settings'!$B$6&gt;$T90+'Settings'!$B$7,"Overdue",IF($T90&lt;='Settings'!$B$6+7,"Due this week","On schedule")))))</f>
        <v/>
      </c>
      <c r="V90" s="15">
        <f>IF(OR($L90="",N($N90)=0),"",($L90-N($M90))/$N90)</f>
        <v/>
      </c>
      <c r="W90" s="15">
        <f>IF(OR($L90="",$E90=""),"",MIN($L90,N($M90)+N($V90)*MIN(N($N90),MAX(0,((YEAR('Settings'!$B$6)-YEAR($E90))*12+MONTH('Settings'!$B$6)-MONTH($E90)-IF(DAY('Settings'!$B$6)&lt;DAY($E90),1,0))))))</f>
        <v/>
      </c>
      <c r="X90" s="15">
        <f>IF($L90="","",$L90-N($O90))</f>
        <v/>
      </c>
      <c r="Y90" s="15">
        <f>IF($W90="","",MAX(0,$W90-N($O90)))</f>
        <v/>
      </c>
      <c r="Z90" s="9">
        <f>IF(OR($A90="",$L90=""),"",IF($X90&lt;=0,"Paid in full",IF($Y90&lt;1,"On track",IF($Y90&lt;=$V90,"1 instalment behind","Behind"))))</f>
        <v/>
      </c>
      <c r="AA90" s="18">
        <f>IF($U90="Overdue",COUNTIF($U$3:$U90,"Overdue"),"")</f>
        <v/>
      </c>
    </row>
    <row r="91">
      <c r="A91" s="4" t="n"/>
      <c r="B91" s="4" t="n"/>
      <c r="C91" s="4" t="n"/>
      <c r="D91" s="4" t="n"/>
      <c r="E91" s="5" t="n"/>
      <c r="F91" s="6" t="n"/>
      <c r="G91" s="6" t="n"/>
      <c r="H91" s="5" t="n"/>
      <c r="I91" s="5" t="n"/>
      <c r="J91" s="6" t="n"/>
      <c r="K91" s="6" t="n"/>
      <c r="L91" s="14" t="n"/>
      <c r="M91" s="14" t="n"/>
      <c r="N91" s="6" t="n"/>
      <c r="O91" s="14" t="n"/>
      <c r="P91" s="4" t="n"/>
      <c r="Q91" s="15">
        <f>IF($E91="","",ROUND(('Settings'!$B$6-$E91)/30.4375,1))</f>
        <v/>
      </c>
      <c r="R91" s="16">
        <f>IF(OR($E91="",N($F91)=0),"",$Q91/$F91)</f>
        <v/>
      </c>
      <c r="S91" s="16">
        <f>IF(N($K91)=0,"",N($J91)/$K91)</f>
        <v/>
      </c>
      <c r="T91" s="17">
        <f>IF(OR($H91="",$G91=""),"",$H91+$G91*7)</f>
        <v/>
      </c>
      <c r="U91" s="9">
        <f>IF(OR($A91="",NOT(OR($P91="Active",$P91="Retention"))),"",IF(AND($I91&lt;&gt;"",$I91&gt;='Settings'!$B$6),"Booked",IF($T91="","",IF('Settings'!$B$6&gt;$T91+'Settings'!$B$7,"Overdue",IF($T91&lt;='Settings'!$B$6+7,"Due this week","On schedule")))))</f>
        <v/>
      </c>
      <c r="V91" s="15">
        <f>IF(OR($L91="",N($N91)=0),"",($L91-N($M91))/$N91)</f>
        <v/>
      </c>
      <c r="W91" s="15">
        <f>IF(OR($L91="",$E91=""),"",MIN($L91,N($M91)+N($V91)*MIN(N($N91),MAX(0,((YEAR('Settings'!$B$6)-YEAR($E91))*12+MONTH('Settings'!$B$6)-MONTH($E91)-IF(DAY('Settings'!$B$6)&lt;DAY($E91),1,0))))))</f>
        <v/>
      </c>
      <c r="X91" s="15">
        <f>IF($L91="","",$L91-N($O91))</f>
        <v/>
      </c>
      <c r="Y91" s="15">
        <f>IF($W91="","",MAX(0,$W91-N($O91)))</f>
        <v/>
      </c>
      <c r="Z91" s="9">
        <f>IF(OR($A91="",$L91=""),"",IF($X91&lt;=0,"Paid in full",IF($Y91&lt;1,"On track",IF($Y91&lt;=$V91,"1 instalment behind","Behind"))))</f>
        <v/>
      </c>
      <c r="AA91" s="18">
        <f>IF($U91="Overdue",COUNTIF($U$3:$U91,"Overdue"),"")</f>
        <v/>
      </c>
    </row>
    <row r="92">
      <c r="A92" s="4" t="n"/>
      <c r="B92" s="4" t="n"/>
      <c r="C92" s="4" t="n"/>
      <c r="D92" s="4" t="n"/>
      <c r="E92" s="5" t="n"/>
      <c r="F92" s="6" t="n"/>
      <c r="G92" s="6" t="n"/>
      <c r="H92" s="5" t="n"/>
      <c r="I92" s="5" t="n"/>
      <c r="J92" s="6" t="n"/>
      <c r="K92" s="6" t="n"/>
      <c r="L92" s="14" t="n"/>
      <c r="M92" s="14" t="n"/>
      <c r="N92" s="6" t="n"/>
      <c r="O92" s="14" t="n"/>
      <c r="P92" s="4" t="n"/>
      <c r="Q92" s="15">
        <f>IF($E92="","",ROUND(('Settings'!$B$6-$E92)/30.4375,1))</f>
        <v/>
      </c>
      <c r="R92" s="16">
        <f>IF(OR($E92="",N($F92)=0),"",$Q92/$F92)</f>
        <v/>
      </c>
      <c r="S92" s="16">
        <f>IF(N($K92)=0,"",N($J92)/$K92)</f>
        <v/>
      </c>
      <c r="T92" s="17">
        <f>IF(OR($H92="",$G92=""),"",$H92+$G92*7)</f>
        <v/>
      </c>
      <c r="U92" s="9">
        <f>IF(OR($A92="",NOT(OR($P92="Active",$P92="Retention"))),"",IF(AND($I92&lt;&gt;"",$I92&gt;='Settings'!$B$6),"Booked",IF($T92="","",IF('Settings'!$B$6&gt;$T92+'Settings'!$B$7,"Overdue",IF($T92&lt;='Settings'!$B$6+7,"Due this week","On schedule")))))</f>
        <v/>
      </c>
      <c r="V92" s="15">
        <f>IF(OR($L92="",N($N92)=0),"",($L92-N($M92))/$N92)</f>
        <v/>
      </c>
      <c r="W92" s="15">
        <f>IF(OR($L92="",$E92=""),"",MIN($L92,N($M92)+N($V92)*MIN(N($N92),MAX(0,((YEAR('Settings'!$B$6)-YEAR($E92))*12+MONTH('Settings'!$B$6)-MONTH($E92)-IF(DAY('Settings'!$B$6)&lt;DAY($E92),1,0))))))</f>
        <v/>
      </c>
      <c r="X92" s="15">
        <f>IF($L92="","",$L92-N($O92))</f>
        <v/>
      </c>
      <c r="Y92" s="15">
        <f>IF($W92="","",MAX(0,$W92-N($O92)))</f>
        <v/>
      </c>
      <c r="Z92" s="9">
        <f>IF(OR($A92="",$L92=""),"",IF($X92&lt;=0,"Paid in full",IF($Y92&lt;1,"On track",IF($Y92&lt;=$V92,"1 instalment behind","Behind"))))</f>
        <v/>
      </c>
      <c r="AA92" s="18">
        <f>IF($U92="Overdue",COUNTIF($U$3:$U92,"Overdue"),"")</f>
        <v/>
      </c>
    </row>
    <row r="93">
      <c r="A93" s="4" t="n"/>
      <c r="B93" s="4" t="n"/>
      <c r="C93" s="4" t="n"/>
      <c r="D93" s="4" t="n"/>
      <c r="E93" s="5" t="n"/>
      <c r="F93" s="6" t="n"/>
      <c r="G93" s="6" t="n"/>
      <c r="H93" s="5" t="n"/>
      <c r="I93" s="5" t="n"/>
      <c r="J93" s="6" t="n"/>
      <c r="K93" s="6" t="n"/>
      <c r="L93" s="14" t="n"/>
      <c r="M93" s="14" t="n"/>
      <c r="N93" s="6" t="n"/>
      <c r="O93" s="14" t="n"/>
      <c r="P93" s="4" t="n"/>
      <c r="Q93" s="15">
        <f>IF($E93="","",ROUND(('Settings'!$B$6-$E93)/30.4375,1))</f>
        <v/>
      </c>
      <c r="R93" s="16">
        <f>IF(OR($E93="",N($F93)=0),"",$Q93/$F93)</f>
        <v/>
      </c>
      <c r="S93" s="16">
        <f>IF(N($K93)=0,"",N($J93)/$K93)</f>
        <v/>
      </c>
      <c r="T93" s="17">
        <f>IF(OR($H93="",$G93=""),"",$H93+$G93*7)</f>
        <v/>
      </c>
      <c r="U93" s="9">
        <f>IF(OR($A93="",NOT(OR($P93="Active",$P93="Retention"))),"",IF(AND($I93&lt;&gt;"",$I93&gt;='Settings'!$B$6),"Booked",IF($T93="","",IF('Settings'!$B$6&gt;$T93+'Settings'!$B$7,"Overdue",IF($T93&lt;='Settings'!$B$6+7,"Due this week","On schedule")))))</f>
        <v/>
      </c>
      <c r="V93" s="15">
        <f>IF(OR($L93="",N($N93)=0),"",($L93-N($M93))/$N93)</f>
        <v/>
      </c>
      <c r="W93" s="15">
        <f>IF(OR($L93="",$E93=""),"",MIN($L93,N($M93)+N($V93)*MIN(N($N93),MAX(0,((YEAR('Settings'!$B$6)-YEAR($E93))*12+MONTH('Settings'!$B$6)-MONTH($E93)-IF(DAY('Settings'!$B$6)&lt;DAY($E93),1,0))))))</f>
        <v/>
      </c>
      <c r="X93" s="15">
        <f>IF($L93="","",$L93-N($O93))</f>
        <v/>
      </c>
      <c r="Y93" s="15">
        <f>IF($W93="","",MAX(0,$W93-N($O93)))</f>
        <v/>
      </c>
      <c r="Z93" s="9">
        <f>IF(OR($A93="",$L93=""),"",IF($X93&lt;=0,"Paid in full",IF($Y93&lt;1,"On track",IF($Y93&lt;=$V93,"1 instalment behind","Behind"))))</f>
        <v/>
      </c>
      <c r="AA93" s="18">
        <f>IF($U93="Overdue",COUNTIF($U$3:$U93,"Overdue"),"")</f>
        <v/>
      </c>
    </row>
    <row r="94">
      <c r="A94" s="4" t="n"/>
      <c r="B94" s="4" t="n"/>
      <c r="C94" s="4" t="n"/>
      <c r="D94" s="4" t="n"/>
      <c r="E94" s="5" t="n"/>
      <c r="F94" s="6" t="n"/>
      <c r="G94" s="6" t="n"/>
      <c r="H94" s="5" t="n"/>
      <c r="I94" s="5" t="n"/>
      <c r="J94" s="6" t="n"/>
      <c r="K94" s="6" t="n"/>
      <c r="L94" s="14" t="n"/>
      <c r="M94" s="14" t="n"/>
      <c r="N94" s="6" t="n"/>
      <c r="O94" s="14" t="n"/>
      <c r="P94" s="4" t="n"/>
      <c r="Q94" s="15">
        <f>IF($E94="","",ROUND(('Settings'!$B$6-$E94)/30.4375,1))</f>
        <v/>
      </c>
      <c r="R94" s="16">
        <f>IF(OR($E94="",N($F94)=0),"",$Q94/$F94)</f>
        <v/>
      </c>
      <c r="S94" s="16">
        <f>IF(N($K94)=0,"",N($J94)/$K94)</f>
        <v/>
      </c>
      <c r="T94" s="17">
        <f>IF(OR($H94="",$G94=""),"",$H94+$G94*7)</f>
        <v/>
      </c>
      <c r="U94" s="9">
        <f>IF(OR($A94="",NOT(OR($P94="Active",$P94="Retention"))),"",IF(AND($I94&lt;&gt;"",$I94&gt;='Settings'!$B$6),"Booked",IF($T94="","",IF('Settings'!$B$6&gt;$T94+'Settings'!$B$7,"Overdue",IF($T94&lt;='Settings'!$B$6+7,"Due this week","On schedule")))))</f>
        <v/>
      </c>
      <c r="V94" s="15">
        <f>IF(OR($L94="",N($N94)=0),"",($L94-N($M94))/$N94)</f>
        <v/>
      </c>
      <c r="W94" s="15">
        <f>IF(OR($L94="",$E94=""),"",MIN($L94,N($M94)+N($V94)*MIN(N($N94),MAX(0,((YEAR('Settings'!$B$6)-YEAR($E94))*12+MONTH('Settings'!$B$6)-MONTH($E94)-IF(DAY('Settings'!$B$6)&lt;DAY($E94),1,0))))))</f>
        <v/>
      </c>
      <c r="X94" s="15">
        <f>IF($L94="","",$L94-N($O94))</f>
        <v/>
      </c>
      <c r="Y94" s="15">
        <f>IF($W94="","",MAX(0,$W94-N($O94)))</f>
        <v/>
      </c>
      <c r="Z94" s="9">
        <f>IF(OR($A94="",$L94=""),"",IF($X94&lt;=0,"Paid in full",IF($Y94&lt;1,"On track",IF($Y94&lt;=$V94,"1 instalment behind","Behind"))))</f>
        <v/>
      </c>
      <c r="AA94" s="18">
        <f>IF($U94="Overdue",COUNTIF($U$3:$U94,"Overdue"),"")</f>
        <v/>
      </c>
    </row>
    <row r="95">
      <c r="A95" s="4" t="n"/>
      <c r="B95" s="4" t="n"/>
      <c r="C95" s="4" t="n"/>
      <c r="D95" s="4" t="n"/>
      <c r="E95" s="5" t="n"/>
      <c r="F95" s="6" t="n"/>
      <c r="G95" s="6" t="n"/>
      <c r="H95" s="5" t="n"/>
      <c r="I95" s="5" t="n"/>
      <c r="J95" s="6" t="n"/>
      <c r="K95" s="6" t="n"/>
      <c r="L95" s="14" t="n"/>
      <c r="M95" s="14" t="n"/>
      <c r="N95" s="6" t="n"/>
      <c r="O95" s="14" t="n"/>
      <c r="P95" s="4" t="n"/>
      <c r="Q95" s="15">
        <f>IF($E95="","",ROUND(('Settings'!$B$6-$E95)/30.4375,1))</f>
        <v/>
      </c>
      <c r="R95" s="16">
        <f>IF(OR($E95="",N($F95)=0),"",$Q95/$F95)</f>
        <v/>
      </c>
      <c r="S95" s="16">
        <f>IF(N($K95)=0,"",N($J95)/$K95)</f>
        <v/>
      </c>
      <c r="T95" s="17">
        <f>IF(OR($H95="",$G95=""),"",$H95+$G95*7)</f>
        <v/>
      </c>
      <c r="U95" s="9">
        <f>IF(OR($A95="",NOT(OR($P95="Active",$P95="Retention"))),"",IF(AND($I95&lt;&gt;"",$I95&gt;='Settings'!$B$6),"Booked",IF($T95="","",IF('Settings'!$B$6&gt;$T95+'Settings'!$B$7,"Overdue",IF($T95&lt;='Settings'!$B$6+7,"Due this week","On schedule")))))</f>
        <v/>
      </c>
      <c r="V95" s="15">
        <f>IF(OR($L95="",N($N95)=0),"",($L95-N($M95))/$N95)</f>
        <v/>
      </c>
      <c r="W95" s="15">
        <f>IF(OR($L95="",$E95=""),"",MIN($L95,N($M95)+N($V95)*MIN(N($N95),MAX(0,((YEAR('Settings'!$B$6)-YEAR($E95))*12+MONTH('Settings'!$B$6)-MONTH($E95)-IF(DAY('Settings'!$B$6)&lt;DAY($E95),1,0))))))</f>
        <v/>
      </c>
      <c r="X95" s="15">
        <f>IF($L95="","",$L95-N($O95))</f>
        <v/>
      </c>
      <c r="Y95" s="15">
        <f>IF($W95="","",MAX(0,$W95-N($O95)))</f>
        <v/>
      </c>
      <c r="Z95" s="9">
        <f>IF(OR($A95="",$L95=""),"",IF($X95&lt;=0,"Paid in full",IF($Y95&lt;1,"On track",IF($Y95&lt;=$V95,"1 instalment behind","Behind"))))</f>
        <v/>
      </c>
      <c r="AA95" s="18">
        <f>IF($U95="Overdue",COUNTIF($U$3:$U95,"Overdue"),"")</f>
        <v/>
      </c>
    </row>
    <row r="96">
      <c r="A96" s="4" t="n"/>
      <c r="B96" s="4" t="n"/>
      <c r="C96" s="4" t="n"/>
      <c r="D96" s="4" t="n"/>
      <c r="E96" s="5" t="n"/>
      <c r="F96" s="6" t="n"/>
      <c r="G96" s="6" t="n"/>
      <c r="H96" s="5" t="n"/>
      <c r="I96" s="5" t="n"/>
      <c r="J96" s="6" t="n"/>
      <c r="K96" s="6" t="n"/>
      <c r="L96" s="14" t="n"/>
      <c r="M96" s="14" t="n"/>
      <c r="N96" s="6" t="n"/>
      <c r="O96" s="14" t="n"/>
      <c r="P96" s="4" t="n"/>
      <c r="Q96" s="15">
        <f>IF($E96="","",ROUND(('Settings'!$B$6-$E96)/30.4375,1))</f>
        <v/>
      </c>
      <c r="R96" s="16">
        <f>IF(OR($E96="",N($F96)=0),"",$Q96/$F96)</f>
        <v/>
      </c>
      <c r="S96" s="16">
        <f>IF(N($K96)=0,"",N($J96)/$K96)</f>
        <v/>
      </c>
      <c r="T96" s="17">
        <f>IF(OR($H96="",$G96=""),"",$H96+$G96*7)</f>
        <v/>
      </c>
      <c r="U96" s="9">
        <f>IF(OR($A96="",NOT(OR($P96="Active",$P96="Retention"))),"",IF(AND($I96&lt;&gt;"",$I96&gt;='Settings'!$B$6),"Booked",IF($T96="","",IF('Settings'!$B$6&gt;$T96+'Settings'!$B$7,"Overdue",IF($T96&lt;='Settings'!$B$6+7,"Due this week","On schedule")))))</f>
        <v/>
      </c>
      <c r="V96" s="15">
        <f>IF(OR($L96="",N($N96)=0),"",($L96-N($M96))/$N96)</f>
        <v/>
      </c>
      <c r="W96" s="15">
        <f>IF(OR($L96="",$E96=""),"",MIN($L96,N($M96)+N($V96)*MIN(N($N96),MAX(0,((YEAR('Settings'!$B$6)-YEAR($E96))*12+MONTH('Settings'!$B$6)-MONTH($E96)-IF(DAY('Settings'!$B$6)&lt;DAY($E96),1,0))))))</f>
        <v/>
      </c>
      <c r="X96" s="15">
        <f>IF($L96="","",$L96-N($O96))</f>
        <v/>
      </c>
      <c r="Y96" s="15">
        <f>IF($W96="","",MAX(0,$W96-N($O96)))</f>
        <v/>
      </c>
      <c r="Z96" s="9">
        <f>IF(OR($A96="",$L96=""),"",IF($X96&lt;=0,"Paid in full",IF($Y96&lt;1,"On track",IF($Y96&lt;=$V96,"1 instalment behind","Behind"))))</f>
        <v/>
      </c>
      <c r="AA96" s="18">
        <f>IF($U96="Overdue",COUNTIF($U$3:$U96,"Overdue"),"")</f>
        <v/>
      </c>
    </row>
    <row r="97">
      <c r="A97" s="4" t="n"/>
      <c r="B97" s="4" t="n"/>
      <c r="C97" s="4" t="n"/>
      <c r="D97" s="4" t="n"/>
      <c r="E97" s="5" t="n"/>
      <c r="F97" s="6" t="n"/>
      <c r="G97" s="6" t="n"/>
      <c r="H97" s="5" t="n"/>
      <c r="I97" s="5" t="n"/>
      <c r="J97" s="6" t="n"/>
      <c r="K97" s="6" t="n"/>
      <c r="L97" s="14" t="n"/>
      <c r="M97" s="14" t="n"/>
      <c r="N97" s="6" t="n"/>
      <c r="O97" s="14" t="n"/>
      <c r="P97" s="4" t="n"/>
      <c r="Q97" s="15">
        <f>IF($E97="","",ROUND(('Settings'!$B$6-$E97)/30.4375,1))</f>
        <v/>
      </c>
      <c r="R97" s="16">
        <f>IF(OR($E97="",N($F97)=0),"",$Q97/$F97)</f>
        <v/>
      </c>
      <c r="S97" s="16">
        <f>IF(N($K97)=0,"",N($J97)/$K97)</f>
        <v/>
      </c>
      <c r="T97" s="17">
        <f>IF(OR($H97="",$G97=""),"",$H97+$G97*7)</f>
        <v/>
      </c>
      <c r="U97" s="9">
        <f>IF(OR($A97="",NOT(OR($P97="Active",$P97="Retention"))),"",IF(AND($I97&lt;&gt;"",$I97&gt;='Settings'!$B$6),"Booked",IF($T97="","",IF('Settings'!$B$6&gt;$T97+'Settings'!$B$7,"Overdue",IF($T97&lt;='Settings'!$B$6+7,"Due this week","On schedule")))))</f>
        <v/>
      </c>
      <c r="V97" s="15">
        <f>IF(OR($L97="",N($N97)=0),"",($L97-N($M97))/$N97)</f>
        <v/>
      </c>
      <c r="W97" s="15">
        <f>IF(OR($L97="",$E97=""),"",MIN($L97,N($M97)+N($V97)*MIN(N($N97),MAX(0,((YEAR('Settings'!$B$6)-YEAR($E97))*12+MONTH('Settings'!$B$6)-MONTH($E97)-IF(DAY('Settings'!$B$6)&lt;DAY($E97),1,0))))))</f>
        <v/>
      </c>
      <c r="X97" s="15">
        <f>IF($L97="","",$L97-N($O97))</f>
        <v/>
      </c>
      <c r="Y97" s="15">
        <f>IF($W97="","",MAX(0,$W97-N($O97)))</f>
        <v/>
      </c>
      <c r="Z97" s="9">
        <f>IF(OR($A97="",$L97=""),"",IF($X97&lt;=0,"Paid in full",IF($Y97&lt;1,"On track",IF($Y97&lt;=$V97,"1 instalment behind","Behind"))))</f>
        <v/>
      </c>
      <c r="AA97" s="18">
        <f>IF($U97="Overdue",COUNTIF($U$3:$U97,"Overdue"),"")</f>
        <v/>
      </c>
    </row>
    <row r="98">
      <c r="A98" s="4" t="n"/>
      <c r="B98" s="4" t="n"/>
      <c r="C98" s="4" t="n"/>
      <c r="D98" s="4" t="n"/>
      <c r="E98" s="5" t="n"/>
      <c r="F98" s="6" t="n"/>
      <c r="G98" s="6" t="n"/>
      <c r="H98" s="5" t="n"/>
      <c r="I98" s="5" t="n"/>
      <c r="J98" s="6" t="n"/>
      <c r="K98" s="6" t="n"/>
      <c r="L98" s="14" t="n"/>
      <c r="M98" s="14" t="n"/>
      <c r="N98" s="6" t="n"/>
      <c r="O98" s="14" t="n"/>
      <c r="P98" s="4" t="n"/>
      <c r="Q98" s="15">
        <f>IF($E98="","",ROUND(('Settings'!$B$6-$E98)/30.4375,1))</f>
        <v/>
      </c>
      <c r="R98" s="16">
        <f>IF(OR($E98="",N($F98)=0),"",$Q98/$F98)</f>
        <v/>
      </c>
      <c r="S98" s="16">
        <f>IF(N($K98)=0,"",N($J98)/$K98)</f>
        <v/>
      </c>
      <c r="T98" s="17">
        <f>IF(OR($H98="",$G98=""),"",$H98+$G98*7)</f>
        <v/>
      </c>
      <c r="U98" s="9">
        <f>IF(OR($A98="",NOT(OR($P98="Active",$P98="Retention"))),"",IF(AND($I98&lt;&gt;"",$I98&gt;='Settings'!$B$6),"Booked",IF($T98="","",IF('Settings'!$B$6&gt;$T98+'Settings'!$B$7,"Overdue",IF($T98&lt;='Settings'!$B$6+7,"Due this week","On schedule")))))</f>
        <v/>
      </c>
      <c r="V98" s="15">
        <f>IF(OR($L98="",N($N98)=0),"",($L98-N($M98))/$N98)</f>
        <v/>
      </c>
      <c r="W98" s="15">
        <f>IF(OR($L98="",$E98=""),"",MIN($L98,N($M98)+N($V98)*MIN(N($N98),MAX(0,((YEAR('Settings'!$B$6)-YEAR($E98))*12+MONTH('Settings'!$B$6)-MONTH($E98)-IF(DAY('Settings'!$B$6)&lt;DAY($E98),1,0))))))</f>
        <v/>
      </c>
      <c r="X98" s="15">
        <f>IF($L98="","",$L98-N($O98))</f>
        <v/>
      </c>
      <c r="Y98" s="15">
        <f>IF($W98="","",MAX(0,$W98-N($O98)))</f>
        <v/>
      </c>
      <c r="Z98" s="9">
        <f>IF(OR($A98="",$L98=""),"",IF($X98&lt;=0,"Paid in full",IF($Y98&lt;1,"On track",IF($Y98&lt;=$V98,"1 instalment behind","Behind"))))</f>
        <v/>
      </c>
      <c r="AA98" s="18">
        <f>IF($U98="Overdue",COUNTIF($U$3:$U98,"Overdue"),"")</f>
        <v/>
      </c>
    </row>
    <row r="99">
      <c r="A99" s="4" t="n"/>
      <c r="B99" s="4" t="n"/>
      <c r="C99" s="4" t="n"/>
      <c r="D99" s="4" t="n"/>
      <c r="E99" s="5" t="n"/>
      <c r="F99" s="6" t="n"/>
      <c r="G99" s="6" t="n"/>
      <c r="H99" s="5" t="n"/>
      <c r="I99" s="5" t="n"/>
      <c r="J99" s="6" t="n"/>
      <c r="K99" s="6" t="n"/>
      <c r="L99" s="14" t="n"/>
      <c r="M99" s="14" t="n"/>
      <c r="N99" s="6" t="n"/>
      <c r="O99" s="14" t="n"/>
      <c r="P99" s="4" t="n"/>
      <c r="Q99" s="15">
        <f>IF($E99="","",ROUND(('Settings'!$B$6-$E99)/30.4375,1))</f>
        <v/>
      </c>
      <c r="R99" s="16">
        <f>IF(OR($E99="",N($F99)=0),"",$Q99/$F99)</f>
        <v/>
      </c>
      <c r="S99" s="16">
        <f>IF(N($K99)=0,"",N($J99)/$K99)</f>
        <v/>
      </c>
      <c r="T99" s="17">
        <f>IF(OR($H99="",$G99=""),"",$H99+$G99*7)</f>
        <v/>
      </c>
      <c r="U99" s="9">
        <f>IF(OR($A99="",NOT(OR($P99="Active",$P99="Retention"))),"",IF(AND($I99&lt;&gt;"",$I99&gt;='Settings'!$B$6),"Booked",IF($T99="","",IF('Settings'!$B$6&gt;$T99+'Settings'!$B$7,"Overdue",IF($T99&lt;='Settings'!$B$6+7,"Due this week","On schedule")))))</f>
        <v/>
      </c>
      <c r="V99" s="15">
        <f>IF(OR($L99="",N($N99)=0),"",($L99-N($M99))/$N99)</f>
        <v/>
      </c>
      <c r="W99" s="15">
        <f>IF(OR($L99="",$E99=""),"",MIN($L99,N($M99)+N($V99)*MIN(N($N99),MAX(0,((YEAR('Settings'!$B$6)-YEAR($E99))*12+MONTH('Settings'!$B$6)-MONTH($E99)-IF(DAY('Settings'!$B$6)&lt;DAY($E99),1,0))))))</f>
        <v/>
      </c>
      <c r="X99" s="15">
        <f>IF($L99="","",$L99-N($O99))</f>
        <v/>
      </c>
      <c r="Y99" s="15">
        <f>IF($W99="","",MAX(0,$W99-N($O99)))</f>
        <v/>
      </c>
      <c r="Z99" s="9">
        <f>IF(OR($A99="",$L99=""),"",IF($X99&lt;=0,"Paid in full",IF($Y99&lt;1,"On track",IF($Y99&lt;=$V99,"1 instalment behind","Behind"))))</f>
        <v/>
      </c>
      <c r="AA99" s="18">
        <f>IF($U99="Overdue",COUNTIF($U$3:$U99,"Overdue"),"")</f>
        <v/>
      </c>
    </row>
    <row r="100">
      <c r="A100" s="4" t="n"/>
      <c r="B100" s="4" t="n"/>
      <c r="C100" s="4" t="n"/>
      <c r="D100" s="4" t="n"/>
      <c r="E100" s="5" t="n"/>
      <c r="F100" s="6" t="n"/>
      <c r="G100" s="6" t="n"/>
      <c r="H100" s="5" t="n"/>
      <c r="I100" s="5" t="n"/>
      <c r="J100" s="6" t="n"/>
      <c r="K100" s="6" t="n"/>
      <c r="L100" s="14" t="n"/>
      <c r="M100" s="14" t="n"/>
      <c r="N100" s="6" t="n"/>
      <c r="O100" s="14" t="n"/>
      <c r="P100" s="4" t="n"/>
      <c r="Q100" s="15">
        <f>IF($E100="","",ROUND(('Settings'!$B$6-$E100)/30.4375,1))</f>
        <v/>
      </c>
      <c r="R100" s="16">
        <f>IF(OR($E100="",N($F100)=0),"",$Q100/$F100)</f>
        <v/>
      </c>
      <c r="S100" s="16">
        <f>IF(N($K100)=0,"",N($J100)/$K100)</f>
        <v/>
      </c>
      <c r="T100" s="17">
        <f>IF(OR($H100="",$G100=""),"",$H100+$G100*7)</f>
        <v/>
      </c>
      <c r="U100" s="9">
        <f>IF(OR($A100="",NOT(OR($P100="Active",$P100="Retention"))),"",IF(AND($I100&lt;&gt;"",$I100&gt;='Settings'!$B$6),"Booked",IF($T100="","",IF('Settings'!$B$6&gt;$T100+'Settings'!$B$7,"Overdue",IF($T100&lt;='Settings'!$B$6+7,"Due this week","On schedule")))))</f>
        <v/>
      </c>
      <c r="V100" s="15">
        <f>IF(OR($L100="",N($N100)=0),"",($L100-N($M100))/$N100)</f>
        <v/>
      </c>
      <c r="W100" s="15">
        <f>IF(OR($L100="",$E100=""),"",MIN($L100,N($M100)+N($V100)*MIN(N($N100),MAX(0,((YEAR('Settings'!$B$6)-YEAR($E100))*12+MONTH('Settings'!$B$6)-MONTH($E100)-IF(DAY('Settings'!$B$6)&lt;DAY($E100),1,0))))))</f>
        <v/>
      </c>
      <c r="X100" s="15">
        <f>IF($L100="","",$L100-N($O100))</f>
        <v/>
      </c>
      <c r="Y100" s="15">
        <f>IF($W100="","",MAX(0,$W100-N($O100)))</f>
        <v/>
      </c>
      <c r="Z100" s="9">
        <f>IF(OR($A100="",$L100=""),"",IF($X100&lt;=0,"Paid in full",IF($Y100&lt;1,"On track",IF($Y100&lt;=$V100,"1 instalment behind","Behind"))))</f>
        <v/>
      </c>
      <c r="AA100" s="18">
        <f>IF($U100="Overdue",COUNTIF($U$3:$U100,"Overdue"),"")</f>
        <v/>
      </c>
    </row>
    <row r="101">
      <c r="A101" s="4" t="n"/>
      <c r="B101" s="4" t="n"/>
      <c r="C101" s="4" t="n"/>
      <c r="D101" s="4" t="n"/>
      <c r="E101" s="5" t="n"/>
      <c r="F101" s="6" t="n"/>
      <c r="G101" s="6" t="n"/>
      <c r="H101" s="5" t="n"/>
      <c r="I101" s="5" t="n"/>
      <c r="J101" s="6" t="n"/>
      <c r="K101" s="6" t="n"/>
      <c r="L101" s="14" t="n"/>
      <c r="M101" s="14" t="n"/>
      <c r="N101" s="6" t="n"/>
      <c r="O101" s="14" t="n"/>
      <c r="P101" s="4" t="n"/>
      <c r="Q101" s="15">
        <f>IF($E101="","",ROUND(('Settings'!$B$6-$E101)/30.4375,1))</f>
        <v/>
      </c>
      <c r="R101" s="16">
        <f>IF(OR($E101="",N($F101)=0),"",$Q101/$F101)</f>
        <v/>
      </c>
      <c r="S101" s="16">
        <f>IF(N($K101)=0,"",N($J101)/$K101)</f>
        <v/>
      </c>
      <c r="T101" s="17">
        <f>IF(OR($H101="",$G101=""),"",$H101+$G101*7)</f>
        <v/>
      </c>
      <c r="U101" s="9">
        <f>IF(OR($A101="",NOT(OR($P101="Active",$P101="Retention"))),"",IF(AND($I101&lt;&gt;"",$I101&gt;='Settings'!$B$6),"Booked",IF($T101="","",IF('Settings'!$B$6&gt;$T101+'Settings'!$B$7,"Overdue",IF($T101&lt;='Settings'!$B$6+7,"Due this week","On schedule")))))</f>
        <v/>
      </c>
      <c r="V101" s="15">
        <f>IF(OR($L101="",N($N101)=0),"",($L101-N($M101))/$N101)</f>
        <v/>
      </c>
      <c r="W101" s="15">
        <f>IF(OR($L101="",$E101=""),"",MIN($L101,N($M101)+N($V101)*MIN(N($N101),MAX(0,((YEAR('Settings'!$B$6)-YEAR($E101))*12+MONTH('Settings'!$B$6)-MONTH($E101)-IF(DAY('Settings'!$B$6)&lt;DAY($E101),1,0))))))</f>
        <v/>
      </c>
      <c r="X101" s="15">
        <f>IF($L101="","",$L101-N($O101))</f>
        <v/>
      </c>
      <c r="Y101" s="15">
        <f>IF($W101="","",MAX(0,$W101-N($O101)))</f>
        <v/>
      </c>
      <c r="Z101" s="9">
        <f>IF(OR($A101="",$L101=""),"",IF($X101&lt;=0,"Paid in full",IF($Y101&lt;1,"On track",IF($Y101&lt;=$V101,"1 instalment behind","Behind"))))</f>
        <v/>
      </c>
      <c r="AA101" s="18">
        <f>IF($U101="Overdue",COUNTIF($U$3:$U101,"Overdue"),"")</f>
        <v/>
      </c>
    </row>
    <row r="102">
      <c r="A102" s="4" t="n"/>
      <c r="B102" s="4" t="n"/>
      <c r="C102" s="4" t="n"/>
      <c r="D102" s="4" t="n"/>
      <c r="E102" s="5" t="n"/>
      <c r="F102" s="6" t="n"/>
      <c r="G102" s="6" t="n"/>
      <c r="H102" s="5" t="n"/>
      <c r="I102" s="5" t="n"/>
      <c r="J102" s="6" t="n"/>
      <c r="K102" s="6" t="n"/>
      <c r="L102" s="14" t="n"/>
      <c r="M102" s="14" t="n"/>
      <c r="N102" s="6" t="n"/>
      <c r="O102" s="14" t="n"/>
      <c r="P102" s="4" t="n"/>
      <c r="Q102" s="15">
        <f>IF($E102="","",ROUND(('Settings'!$B$6-$E102)/30.4375,1))</f>
        <v/>
      </c>
      <c r="R102" s="16">
        <f>IF(OR($E102="",N($F102)=0),"",$Q102/$F102)</f>
        <v/>
      </c>
      <c r="S102" s="16">
        <f>IF(N($K102)=0,"",N($J102)/$K102)</f>
        <v/>
      </c>
      <c r="T102" s="17">
        <f>IF(OR($H102="",$G102=""),"",$H102+$G102*7)</f>
        <v/>
      </c>
      <c r="U102" s="9">
        <f>IF(OR($A102="",NOT(OR($P102="Active",$P102="Retention"))),"",IF(AND($I102&lt;&gt;"",$I102&gt;='Settings'!$B$6),"Booked",IF($T102="","",IF('Settings'!$B$6&gt;$T102+'Settings'!$B$7,"Overdue",IF($T102&lt;='Settings'!$B$6+7,"Due this week","On schedule")))))</f>
        <v/>
      </c>
      <c r="V102" s="15">
        <f>IF(OR($L102="",N($N102)=0),"",($L102-N($M102))/$N102)</f>
        <v/>
      </c>
      <c r="W102" s="15">
        <f>IF(OR($L102="",$E102=""),"",MIN($L102,N($M102)+N($V102)*MIN(N($N102),MAX(0,((YEAR('Settings'!$B$6)-YEAR($E102))*12+MONTH('Settings'!$B$6)-MONTH($E102)-IF(DAY('Settings'!$B$6)&lt;DAY($E102),1,0))))))</f>
        <v/>
      </c>
      <c r="X102" s="15">
        <f>IF($L102="","",$L102-N($O102))</f>
        <v/>
      </c>
      <c r="Y102" s="15">
        <f>IF($W102="","",MAX(0,$W102-N($O102)))</f>
        <v/>
      </c>
      <c r="Z102" s="9">
        <f>IF(OR($A102="",$L102=""),"",IF($X102&lt;=0,"Paid in full",IF($Y102&lt;1,"On track",IF($Y102&lt;=$V102,"1 instalment behind","Behind"))))</f>
        <v/>
      </c>
      <c r="AA102" s="18">
        <f>IF($U102="Overdue",COUNTIF($U$3:$U102,"Overdue"),"")</f>
        <v/>
      </c>
    </row>
    <row r="103">
      <c r="A103" s="4" t="n"/>
      <c r="B103" s="4" t="n"/>
      <c r="C103" s="4" t="n"/>
      <c r="D103" s="4" t="n"/>
      <c r="E103" s="5" t="n"/>
      <c r="F103" s="6" t="n"/>
      <c r="G103" s="6" t="n"/>
      <c r="H103" s="5" t="n"/>
      <c r="I103" s="5" t="n"/>
      <c r="J103" s="6" t="n"/>
      <c r="K103" s="6" t="n"/>
      <c r="L103" s="14" t="n"/>
      <c r="M103" s="14" t="n"/>
      <c r="N103" s="6" t="n"/>
      <c r="O103" s="14" t="n"/>
      <c r="P103" s="4" t="n"/>
      <c r="Q103" s="15">
        <f>IF($E103="","",ROUND(('Settings'!$B$6-$E103)/30.4375,1))</f>
        <v/>
      </c>
      <c r="R103" s="16">
        <f>IF(OR($E103="",N($F103)=0),"",$Q103/$F103)</f>
        <v/>
      </c>
      <c r="S103" s="16">
        <f>IF(N($K103)=0,"",N($J103)/$K103)</f>
        <v/>
      </c>
      <c r="T103" s="17">
        <f>IF(OR($H103="",$G103=""),"",$H103+$G103*7)</f>
        <v/>
      </c>
      <c r="U103" s="9">
        <f>IF(OR($A103="",NOT(OR($P103="Active",$P103="Retention"))),"",IF(AND($I103&lt;&gt;"",$I103&gt;='Settings'!$B$6),"Booked",IF($T103="","",IF('Settings'!$B$6&gt;$T103+'Settings'!$B$7,"Overdue",IF($T103&lt;='Settings'!$B$6+7,"Due this week","On schedule")))))</f>
        <v/>
      </c>
      <c r="V103" s="15">
        <f>IF(OR($L103="",N($N103)=0),"",($L103-N($M103))/$N103)</f>
        <v/>
      </c>
      <c r="W103" s="15">
        <f>IF(OR($L103="",$E103=""),"",MIN($L103,N($M103)+N($V103)*MIN(N($N103),MAX(0,((YEAR('Settings'!$B$6)-YEAR($E103))*12+MONTH('Settings'!$B$6)-MONTH($E103)-IF(DAY('Settings'!$B$6)&lt;DAY($E103),1,0))))))</f>
        <v/>
      </c>
      <c r="X103" s="15">
        <f>IF($L103="","",$L103-N($O103))</f>
        <v/>
      </c>
      <c r="Y103" s="15">
        <f>IF($W103="","",MAX(0,$W103-N($O103)))</f>
        <v/>
      </c>
      <c r="Z103" s="9">
        <f>IF(OR($A103="",$L103=""),"",IF($X103&lt;=0,"Paid in full",IF($Y103&lt;1,"On track",IF($Y103&lt;=$V103,"1 instalment behind","Behind"))))</f>
        <v/>
      </c>
      <c r="AA103" s="18">
        <f>IF($U103="Overdue",COUNTIF($U$3:$U103,"Overdue"),"")</f>
        <v/>
      </c>
    </row>
    <row r="104">
      <c r="A104" s="4" t="n"/>
      <c r="B104" s="4" t="n"/>
      <c r="C104" s="4" t="n"/>
      <c r="D104" s="4" t="n"/>
      <c r="E104" s="5" t="n"/>
      <c r="F104" s="6" t="n"/>
      <c r="G104" s="6" t="n"/>
      <c r="H104" s="5" t="n"/>
      <c r="I104" s="5" t="n"/>
      <c r="J104" s="6" t="n"/>
      <c r="K104" s="6" t="n"/>
      <c r="L104" s="14" t="n"/>
      <c r="M104" s="14" t="n"/>
      <c r="N104" s="6" t="n"/>
      <c r="O104" s="14" t="n"/>
      <c r="P104" s="4" t="n"/>
      <c r="Q104" s="15">
        <f>IF($E104="","",ROUND(('Settings'!$B$6-$E104)/30.4375,1))</f>
        <v/>
      </c>
      <c r="R104" s="16">
        <f>IF(OR($E104="",N($F104)=0),"",$Q104/$F104)</f>
        <v/>
      </c>
      <c r="S104" s="16">
        <f>IF(N($K104)=0,"",N($J104)/$K104)</f>
        <v/>
      </c>
      <c r="T104" s="17">
        <f>IF(OR($H104="",$G104=""),"",$H104+$G104*7)</f>
        <v/>
      </c>
      <c r="U104" s="9">
        <f>IF(OR($A104="",NOT(OR($P104="Active",$P104="Retention"))),"",IF(AND($I104&lt;&gt;"",$I104&gt;='Settings'!$B$6),"Booked",IF($T104="","",IF('Settings'!$B$6&gt;$T104+'Settings'!$B$7,"Overdue",IF($T104&lt;='Settings'!$B$6+7,"Due this week","On schedule")))))</f>
        <v/>
      </c>
      <c r="V104" s="15">
        <f>IF(OR($L104="",N($N104)=0),"",($L104-N($M104))/$N104)</f>
        <v/>
      </c>
      <c r="W104" s="15">
        <f>IF(OR($L104="",$E104=""),"",MIN($L104,N($M104)+N($V104)*MIN(N($N104),MAX(0,((YEAR('Settings'!$B$6)-YEAR($E104))*12+MONTH('Settings'!$B$6)-MONTH($E104)-IF(DAY('Settings'!$B$6)&lt;DAY($E104),1,0))))))</f>
        <v/>
      </c>
      <c r="X104" s="15">
        <f>IF($L104="","",$L104-N($O104))</f>
        <v/>
      </c>
      <c r="Y104" s="15">
        <f>IF($W104="","",MAX(0,$W104-N($O104)))</f>
        <v/>
      </c>
      <c r="Z104" s="9">
        <f>IF(OR($A104="",$L104=""),"",IF($X104&lt;=0,"Paid in full",IF($Y104&lt;1,"On track",IF($Y104&lt;=$V104,"1 instalment behind","Behind"))))</f>
        <v/>
      </c>
      <c r="AA104" s="18">
        <f>IF($U104="Overdue",COUNTIF($U$3:$U104,"Overdue"),"")</f>
        <v/>
      </c>
    </row>
    <row r="105">
      <c r="A105" s="4" t="n"/>
      <c r="B105" s="4" t="n"/>
      <c r="C105" s="4" t="n"/>
      <c r="D105" s="4" t="n"/>
      <c r="E105" s="5" t="n"/>
      <c r="F105" s="6" t="n"/>
      <c r="G105" s="6" t="n"/>
      <c r="H105" s="5" t="n"/>
      <c r="I105" s="5" t="n"/>
      <c r="J105" s="6" t="n"/>
      <c r="K105" s="6" t="n"/>
      <c r="L105" s="14" t="n"/>
      <c r="M105" s="14" t="n"/>
      <c r="N105" s="6" t="n"/>
      <c r="O105" s="14" t="n"/>
      <c r="P105" s="4" t="n"/>
      <c r="Q105" s="15">
        <f>IF($E105="","",ROUND(('Settings'!$B$6-$E105)/30.4375,1))</f>
        <v/>
      </c>
      <c r="R105" s="16">
        <f>IF(OR($E105="",N($F105)=0),"",$Q105/$F105)</f>
        <v/>
      </c>
      <c r="S105" s="16">
        <f>IF(N($K105)=0,"",N($J105)/$K105)</f>
        <v/>
      </c>
      <c r="T105" s="17">
        <f>IF(OR($H105="",$G105=""),"",$H105+$G105*7)</f>
        <v/>
      </c>
      <c r="U105" s="9">
        <f>IF(OR($A105="",NOT(OR($P105="Active",$P105="Retention"))),"",IF(AND($I105&lt;&gt;"",$I105&gt;='Settings'!$B$6),"Booked",IF($T105="","",IF('Settings'!$B$6&gt;$T105+'Settings'!$B$7,"Overdue",IF($T105&lt;='Settings'!$B$6+7,"Due this week","On schedule")))))</f>
        <v/>
      </c>
      <c r="V105" s="15">
        <f>IF(OR($L105="",N($N105)=0),"",($L105-N($M105))/$N105)</f>
        <v/>
      </c>
      <c r="W105" s="15">
        <f>IF(OR($L105="",$E105=""),"",MIN($L105,N($M105)+N($V105)*MIN(N($N105),MAX(0,((YEAR('Settings'!$B$6)-YEAR($E105))*12+MONTH('Settings'!$B$6)-MONTH($E105)-IF(DAY('Settings'!$B$6)&lt;DAY($E105),1,0))))))</f>
        <v/>
      </c>
      <c r="X105" s="15">
        <f>IF($L105="","",$L105-N($O105))</f>
        <v/>
      </c>
      <c r="Y105" s="15">
        <f>IF($W105="","",MAX(0,$W105-N($O105)))</f>
        <v/>
      </c>
      <c r="Z105" s="9">
        <f>IF(OR($A105="",$L105=""),"",IF($X105&lt;=0,"Paid in full",IF($Y105&lt;1,"On track",IF($Y105&lt;=$V105,"1 instalment behind","Behind"))))</f>
        <v/>
      </c>
      <c r="AA105" s="18">
        <f>IF($U105="Overdue",COUNTIF($U$3:$U105,"Overdue"),"")</f>
        <v/>
      </c>
    </row>
    <row r="106">
      <c r="A106" s="4" t="n"/>
      <c r="B106" s="4" t="n"/>
      <c r="C106" s="4" t="n"/>
      <c r="D106" s="4" t="n"/>
      <c r="E106" s="5" t="n"/>
      <c r="F106" s="6" t="n"/>
      <c r="G106" s="6" t="n"/>
      <c r="H106" s="5" t="n"/>
      <c r="I106" s="5" t="n"/>
      <c r="J106" s="6" t="n"/>
      <c r="K106" s="6" t="n"/>
      <c r="L106" s="14" t="n"/>
      <c r="M106" s="14" t="n"/>
      <c r="N106" s="6" t="n"/>
      <c r="O106" s="14" t="n"/>
      <c r="P106" s="4" t="n"/>
      <c r="Q106" s="15">
        <f>IF($E106="","",ROUND(('Settings'!$B$6-$E106)/30.4375,1))</f>
        <v/>
      </c>
      <c r="R106" s="16">
        <f>IF(OR($E106="",N($F106)=0),"",$Q106/$F106)</f>
        <v/>
      </c>
      <c r="S106" s="16">
        <f>IF(N($K106)=0,"",N($J106)/$K106)</f>
        <v/>
      </c>
      <c r="T106" s="17">
        <f>IF(OR($H106="",$G106=""),"",$H106+$G106*7)</f>
        <v/>
      </c>
      <c r="U106" s="9">
        <f>IF(OR($A106="",NOT(OR($P106="Active",$P106="Retention"))),"",IF(AND($I106&lt;&gt;"",$I106&gt;='Settings'!$B$6),"Booked",IF($T106="","",IF('Settings'!$B$6&gt;$T106+'Settings'!$B$7,"Overdue",IF($T106&lt;='Settings'!$B$6+7,"Due this week","On schedule")))))</f>
        <v/>
      </c>
      <c r="V106" s="15">
        <f>IF(OR($L106="",N($N106)=0),"",($L106-N($M106))/$N106)</f>
        <v/>
      </c>
      <c r="W106" s="15">
        <f>IF(OR($L106="",$E106=""),"",MIN($L106,N($M106)+N($V106)*MIN(N($N106),MAX(0,((YEAR('Settings'!$B$6)-YEAR($E106))*12+MONTH('Settings'!$B$6)-MONTH($E106)-IF(DAY('Settings'!$B$6)&lt;DAY($E106),1,0))))))</f>
        <v/>
      </c>
      <c r="X106" s="15">
        <f>IF($L106="","",$L106-N($O106))</f>
        <v/>
      </c>
      <c r="Y106" s="15">
        <f>IF($W106="","",MAX(0,$W106-N($O106)))</f>
        <v/>
      </c>
      <c r="Z106" s="9">
        <f>IF(OR($A106="",$L106=""),"",IF($X106&lt;=0,"Paid in full",IF($Y106&lt;1,"On track",IF($Y106&lt;=$V106,"1 instalment behind","Behind"))))</f>
        <v/>
      </c>
      <c r="AA106" s="18">
        <f>IF($U106="Overdue",COUNTIF($U$3:$U106,"Overdue"),"")</f>
        <v/>
      </c>
    </row>
    <row r="107">
      <c r="A107" s="4" t="n"/>
      <c r="B107" s="4" t="n"/>
      <c r="C107" s="4" t="n"/>
      <c r="D107" s="4" t="n"/>
      <c r="E107" s="5" t="n"/>
      <c r="F107" s="6" t="n"/>
      <c r="G107" s="6" t="n"/>
      <c r="H107" s="5" t="n"/>
      <c r="I107" s="5" t="n"/>
      <c r="J107" s="6" t="n"/>
      <c r="K107" s="6" t="n"/>
      <c r="L107" s="14" t="n"/>
      <c r="M107" s="14" t="n"/>
      <c r="N107" s="6" t="n"/>
      <c r="O107" s="14" t="n"/>
      <c r="P107" s="4" t="n"/>
      <c r="Q107" s="15">
        <f>IF($E107="","",ROUND(('Settings'!$B$6-$E107)/30.4375,1))</f>
        <v/>
      </c>
      <c r="R107" s="16">
        <f>IF(OR($E107="",N($F107)=0),"",$Q107/$F107)</f>
        <v/>
      </c>
      <c r="S107" s="16">
        <f>IF(N($K107)=0,"",N($J107)/$K107)</f>
        <v/>
      </c>
      <c r="T107" s="17">
        <f>IF(OR($H107="",$G107=""),"",$H107+$G107*7)</f>
        <v/>
      </c>
      <c r="U107" s="9">
        <f>IF(OR($A107="",NOT(OR($P107="Active",$P107="Retention"))),"",IF(AND($I107&lt;&gt;"",$I107&gt;='Settings'!$B$6),"Booked",IF($T107="","",IF('Settings'!$B$6&gt;$T107+'Settings'!$B$7,"Overdue",IF($T107&lt;='Settings'!$B$6+7,"Due this week","On schedule")))))</f>
        <v/>
      </c>
      <c r="V107" s="15">
        <f>IF(OR($L107="",N($N107)=0),"",($L107-N($M107))/$N107)</f>
        <v/>
      </c>
      <c r="W107" s="15">
        <f>IF(OR($L107="",$E107=""),"",MIN($L107,N($M107)+N($V107)*MIN(N($N107),MAX(0,((YEAR('Settings'!$B$6)-YEAR($E107))*12+MONTH('Settings'!$B$6)-MONTH($E107)-IF(DAY('Settings'!$B$6)&lt;DAY($E107),1,0))))))</f>
        <v/>
      </c>
      <c r="X107" s="15">
        <f>IF($L107="","",$L107-N($O107))</f>
        <v/>
      </c>
      <c r="Y107" s="15">
        <f>IF($W107="","",MAX(0,$W107-N($O107)))</f>
        <v/>
      </c>
      <c r="Z107" s="9">
        <f>IF(OR($A107="",$L107=""),"",IF($X107&lt;=0,"Paid in full",IF($Y107&lt;1,"On track",IF($Y107&lt;=$V107,"1 instalment behind","Behind"))))</f>
        <v/>
      </c>
      <c r="AA107" s="18">
        <f>IF($U107="Overdue",COUNTIF($U$3:$U107,"Overdue"),"")</f>
        <v/>
      </c>
    </row>
    <row r="108">
      <c r="A108" s="4" t="n"/>
      <c r="B108" s="4" t="n"/>
      <c r="C108" s="4" t="n"/>
      <c r="D108" s="4" t="n"/>
      <c r="E108" s="5" t="n"/>
      <c r="F108" s="6" t="n"/>
      <c r="G108" s="6" t="n"/>
      <c r="H108" s="5" t="n"/>
      <c r="I108" s="5" t="n"/>
      <c r="J108" s="6" t="n"/>
      <c r="K108" s="6" t="n"/>
      <c r="L108" s="14" t="n"/>
      <c r="M108" s="14" t="n"/>
      <c r="N108" s="6" t="n"/>
      <c r="O108" s="14" t="n"/>
      <c r="P108" s="4" t="n"/>
      <c r="Q108" s="15">
        <f>IF($E108="","",ROUND(('Settings'!$B$6-$E108)/30.4375,1))</f>
        <v/>
      </c>
      <c r="R108" s="16">
        <f>IF(OR($E108="",N($F108)=0),"",$Q108/$F108)</f>
        <v/>
      </c>
      <c r="S108" s="16">
        <f>IF(N($K108)=0,"",N($J108)/$K108)</f>
        <v/>
      </c>
      <c r="T108" s="17">
        <f>IF(OR($H108="",$G108=""),"",$H108+$G108*7)</f>
        <v/>
      </c>
      <c r="U108" s="9">
        <f>IF(OR($A108="",NOT(OR($P108="Active",$P108="Retention"))),"",IF(AND($I108&lt;&gt;"",$I108&gt;='Settings'!$B$6),"Booked",IF($T108="","",IF('Settings'!$B$6&gt;$T108+'Settings'!$B$7,"Overdue",IF($T108&lt;='Settings'!$B$6+7,"Due this week","On schedule")))))</f>
        <v/>
      </c>
      <c r="V108" s="15">
        <f>IF(OR($L108="",N($N108)=0),"",($L108-N($M108))/$N108)</f>
        <v/>
      </c>
      <c r="W108" s="15">
        <f>IF(OR($L108="",$E108=""),"",MIN($L108,N($M108)+N($V108)*MIN(N($N108),MAX(0,((YEAR('Settings'!$B$6)-YEAR($E108))*12+MONTH('Settings'!$B$6)-MONTH($E108)-IF(DAY('Settings'!$B$6)&lt;DAY($E108),1,0))))))</f>
        <v/>
      </c>
      <c r="X108" s="15">
        <f>IF($L108="","",$L108-N($O108))</f>
        <v/>
      </c>
      <c r="Y108" s="15">
        <f>IF($W108="","",MAX(0,$W108-N($O108)))</f>
        <v/>
      </c>
      <c r="Z108" s="9">
        <f>IF(OR($A108="",$L108=""),"",IF($X108&lt;=0,"Paid in full",IF($Y108&lt;1,"On track",IF($Y108&lt;=$V108,"1 instalment behind","Behind"))))</f>
        <v/>
      </c>
      <c r="AA108" s="18">
        <f>IF($U108="Overdue",COUNTIF($U$3:$U108,"Overdue"),"")</f>
        <v/>
      </c>
    </row>
    <row r="109">
      <c r="A109" s="4" t="n"/>
      <c r="B109" s="4" t="n"/>
      <c r="C109" s="4" t="n"/>
      <c r="D109" s="4" t="n"/>
      <c r="E109" s="5" t="n"/>
      <c r="F109" s="6" t="n"/>
      <c r="G109" s="6" t="n"/>
      <c r="H109" s="5" t="n"/>
      <c r="I109" s="5" t="n"/>
      <c r="J109" s="6" t="n"/>
      <c r="K109" s="6" t="n"/>
      <c r="L109" s="14" t="n"/>
      <c r="M109" s="14" t="n"/>
      <c r="N109" s="6" t="n"/>
      <c r="O109" s="14" t="n"/>
      <c r="P109" s="4" t="n"/>
      <c r="Q109" s="15">
        <f>IF($E109="","",ROUND(('Settings'!$B$6-$E109)/30.4375,1))</f>
        <v/>
      </c>
      <c r="R109" s="16">
        <f>IF(OR($E109="",N($F109)=0),"",$Q109/$F109)</f>
        <v/>
      </c>
      <c r="S109" s="16">
        <f>IF(N($K109)=0,"",N($J109)/$K109)</f>
        <v/>
      </c>
      <c r="T109" s="17">
        <f>IF(OR($H109="",$G109=""),"",$H109+$G109*7)</f>
        <v/>
      </c>
      <c r="U109" s="9">
        <f>IF(OR($A109="",NOT(OR($P109="Active",$P109="Retention"))),"",IF(AND($I109&lt;&gt;"",$I109&gt;='Settings'!$B$6),"Booked",IF($T109="","",IF('Settings'!$B$6&gt;$T109+'Settings'!$B$7,"Overdue",IF($T109&lt;='Settings'!$B$6+7,"Due this week","On schedule")))))</f>
        <v/>
      </c>
      <c r="V109" s="15">
        <f>IF(OR($L109="",N($N109)=0),"",($L109-N($M109))/$N109)</f>
        <v/>
      </c>
      <c r="W109" s="15">
        <f>IF(OR($L109="",$E109=""),"",MIN($L109,N($M109)+N($V109)*MIN(N($N109),MAX(0,((YEAR('Settings'!$B$6)-YEAR($E109))*12+MONTH('Settings'!$B$6)-MONTH($E109)-IF(DAY('Settings'!$B$6)&lt;DAY($E109),1,0))))))</f>
        <v/>
      </c>
      <c r="X109" s="15">
        <f>IF($L109="","",$L109-N($O109))</f>
        <v/>
      </c>
      <c r="Y109" s="15">
        <f>IF($W109="","",MAX(0,$W109-N($O109)))</f>
        <v/>
      </c>
      <c r="Z109" s="9">
        <f>IF(OR($A109="",$L109=""),"",IF($X109&lt;=0,"Paid in full",IF($Y109&lt;1,"On track",IF($Y109&lt;=$V109,"1 instalment behind","Behind"))))</f>
        <v/>
      </c>
      <c r="AA109" s="18">
        <f>IF($U109="Overdue",COUNTIF($U$3:$U109,"Overdue"),"")</f>
        <v/>
      </c>
    </row>
    <row r="110">
      <c r="A110" s="4" t="n"/>
      <c r="B110" s="4" t="n"/>
      <c r="C110" s="4" t="n"/>
      <c r="D110" s="4" t="n"/>
      <c r="E110" s="5" t="n"/>
      <c r="F110" s="6" t="n"/>
      <c r="G110" s="6" t="n"/>
      <c r="H110" s="5" t="n"/>
      <c r="I110" s="5" t="n"/>
      <c r="J110" s="6" t="n"/>
      <c r="K110" s="6" t="n"/>
      <c r="L110" s="14" t="n"/>
      <c r="M110" s="14" t="n"/>
      <c r="N110" s="6" t="n"/>
      <c r="O110" s="14" t="n"/>
      <c r="P110" s="4" t="n"/>
      <c r="Q110" s="15">
        <f>IF($E110="","",ROUND(('Settings'!$B$6-$E110)/30.4375,1))</f>
        <v/>
      </c>
      <c r="R110" s="16">
        <f>IF(OR($E110="",N($F110)=0),"",$Q110/$F110)</f>
        <v/>
      </c>
      <c r="S110" s="16">
        <f>IF(N($K110)=0,"",N($J110)/$K110)</f>
        <v/>
      </c>
      <c r="T110" s="17">
        <f>IF(OR($H110="",$G110=""),"",$H110+$G110*7)</f>
        <v/>
      </c>
      <c r="U110" s="9">
        <f>IF(OR($A110="",NOT(OR($P110="Active",$P110="Retention"))),"",IF(AND($I110&lt;&gt;"",$I110&gt;='Settings'!$B$6),"Booked",IF($T110="","",IF('Settings'!$B$6&gt;$T110+'Settings'!$B$7,"Overdue",IF($T110&lt;='Settings'!$B$6+7,"Due this week","On schedule")))))</f>
        <v/>
      </c>
      <c r="V110" s="15">
        <f>IF(OR($L110="",N($N110)=0),"",($L110-N($M110))/$N110)</f>
        <v/>
      </c>
      <c r="W110" s="15">
        <f>IF(OR($L110="",$E110=""),"",MIN($L110,N($M110)+N($V110)*MIN(N($N110),MAX(0,((YEAR('Settings'!$B$6)-YEAR($E110))*12+MONTH('Settings'!$B$6)-MONTH($E110)-IF(DAY('Settings'!$B$6)&lt;DAY($E110),1,0))))))</f>
        <v/>
      </c>
      <c r="X110" s="15">
        <f>IF($L110="","",$L110-N($O110))</f>
        <v/>
      </c>
      <c r="Y110" s="15">
        <f>IF($W110="","",MAX(0,$W110-N($O110)))</f>
        <v/>
      </c>
      <c r="Z110" s="9">
        <f>IF(OR($A110="",$L110=""),"",IF($X110&lt;=0,"Paid in full",IF($Y110&lt;1,"On track",IF($Y110&lt;=$V110,"1 instalment behind","Behind"))))</f>
        <v/>
      </c>
      <c r="AA110" s="18">
        <f>IF($U110="Overdue",COUNTIF($U$3:$U110,"Overdue"),"")</f>
        <v/>
      </c>
    </row>
    <row r="111">
      <c r="A111" s="4" t="n"/>
      <c r="B111" s="4" t="n"/>
      <c r="C111" s="4" t="n"/>
      <c r="D111" s="4" t="n"/>
      <c r="E111" s="5" t="n"/>
      <c r="F111" s="6" t="n"/>
      <c r="G111" s="6" t="n"/>
      <c r="H111" s="5" t="n"/>
      <c r="I111" s="5" t="n"/>
      <c r="J111" s="6" t="n"/>
      <c r="K111" s="6" t="n"/>
      <c r="L111" s="14" t="n"/>
      <c r="M111" s="14" t="n"/>
      <c r="N111" s="6" t="n"/>
      <c r="O111" s="14" t="n"/>
      <c r="P111" s="4" t="n"/>
      <c r="Q111" s="15">
        <f>IF($E111="","",ROUND(('Settings'!$B$6-$E111)/30.4375,1))</f>
        <v/>
      </c>
      <c r="R111" s="16">
        <f>IF(OR($E111="",N($F111)=0),"",$Q111/$F111)</f>
        <v/>
      </c>
      <c r="S111" s="16">
        <f>IF(N($K111)=0,"",N($J111)/$K111)</f>
        <v/>
      </c>
      <c r="T111" s="17">
        <f>IF(OR($H111="",$G111=""),"",$H111+$G111*7)</f>
        <v/>
      </c>
      <c r="U111" s="9">
        <f>IF(OR($A111="",NOT(OR($P111="Active",$P111="Retention"))),"",IF(AND($I111&lt;&gt;"",$I111&gt;='Settings'!$B$6),"Booked",IF($T111="","",IF('Settings'!$B$6&gt;$T111+'Settings'!$B$7,"Overdue",IF($T111&lt;='Settings'!$B$6+7,"Due this week","On schedule")))))</f>
        <v/>
      </c>
      <c r="V111" s="15">
        <f>IF(OR($L111="",N($N111)=0),"",($L111-N($M111))/$N111)</f>
        <v/>
      </c>
      <c r="W111" s="15">
        <f>IF(OR($L111="",$E111=""),"",MIN($L111,N($M111)+N($V111)*MIN(N($N111),MAX(0,((YEAR('Settings'!$B$6)-YEAR($E111))*12+MONTH('Settings'!$B$6)-MONTH($E111)-IF(DAY('Settings'!$B$6)&lt;DAY($E111),1,0))))))</f>
        <v/>
      </c>
      <c r="X111" s="15">
        <f>IF($L111="","",$L111-N($O111))</f>
        <v/>
      </c>
      <c r="Y111" s="15">
        <f>IF($W111="","",MAX(0,$W111-N($O111)))</f>
        <v/>
      </c>
      <c r="Z111" s="9">
        <f>IF(OR($A111="",$L111=""),"",IF($X111&lt;=0,"Paid in full",IF($Y111&lt;1,"On track",IF($Y111&lt;=$V111,"1 instalment behind","Behind"))))</f>
        <v/>
      </c>
      <c r="AA111" s="18">
        <f>IF($U111="Overdue",COUNTIF($U$3:$U111,"Overdue"),"")</f>
        <v/>
      </c>
    </row>
    <row r="112">
      <c r="A112" s="4" t="n"/>
      <c r="B112" s="4" t="n"/>
      <c r="C112" s="4" t="n"/>
      <c r="D112" s="4" t="n"/>
      <c r="E112" s="5" t="n"/>
      <c r="F112" s="6" t="n"/>
      <c r="G112" s="6" t="n"/>
      <c r="H112" s="5" t="n"/>
      <c r="I112" s="5" t="n"/>
      <c r="J112" s="6" t="n"/>
      <c r="K112" s="6" t="n"/>
      <c r="L112" s="14" t="n"/>
      <c r="M112" s="14" t="n"/>
      <c r="N112" s="6" t="n"/>
      <c r="O112" s="14" t="n"/>
      <c r="P112" s="4" t="n"/>
      <c r="Q112" s="15">
        <f>IF($E112="","",ROUND(('Settings'!$B$6-$E112)/30.4375,1))</f>
        <v/>
      </c>
      <c r="R112" s="16">
        <f>IF(OR($E112="",N($F112)=0),"",$Q112/$F112)</f>
        <v/>
      </c>
      <c r="S112" s="16">
        <f>IF(N($K112)=0,"",N($J112)/$K112)</f>
        <v/>
      </c>
      <c r="T112" s="17">
        <f>IF(OR($H112="",$G112=""),"",$H112+$G112*7)</f>
        <v/>
      </c>
      <c r="U112" s="9">
        <f>IF(OR($A112="",NOT(OR($P112="Active",$P112="Retention"))),"",IF(AND($I112&lt;&gt;"",$I112&gt;='Settings'!$B$6),"Booked",IF($T112="","",IF('Settings'!$B$6&gt;$T112+'Settings'!$B$7,"Overdue",IF($T112&lt;='Settings'!$B$6+7,"Due this week","On schedule")))))</f>
        <v/>
      </c>
      <c r="V112" s="15">
        <f>IF(OR($L112="",N($N112)=0),"",($L112-N($M112))/$N112)</f>
        <v/>
      </c>
      <c r="W112" s="15">
        <f>IF(OR($L112="",$E112=""),"",MIN($L112,N($M112)+N($V112)*MIN(N($N112),MAX(0,((YEAR('Settings'!$B$6)-YEAR($E112))*12+MONTH('Settings'!$B$6)-MONTH($E112)-IF(DAY('Settings'!$B$6)&lt;DAY($E112),1,0))))))</f>
        <v/>
      </c>
      <c r="X112" s="15">
        <f>IF($L112="","",$L112-N($O112))</f>
        <v/>
      </c>
      <c r="Y112" s="15">
        <f>IF($W112="","",MAX(0,$W112-N($O112)))</f>
        <v/>
      </c>
      <c r="Z112" s="9">
        <f>IF(OR($A112="",$L112=""),"",IF($X112&lt;=0,"Paid in full",IF($Y112&lt;1,"On track",IF($Y112&lt;=$V112,"1 instalment behind","Behind"))))</f>
        <v/>
      </c>
      <c r="AA112" s="18">
        <f>IF($U112="Overdue",COUNTIF($U$3:$U112,"Overdue"),"")</f>
        <v/>
      </c>
    </row>
    <row r="113">
      <c r="A113" s="4" t="n"/>
      <c r="B113" s="4" t="n"/>
      <c r="C113" s="4" t="n"/>
      <c r="D113" s="4" t="n"/>
      <c r="E113" s="5" t="n"/>
      <c r="F113" s="6" t="n"/>
      <c r="G113" s="6" t="n"/>
      <c r="H113" s="5" t="n"/>
      <c r="I113" s="5" t="n"/>
      <c r="J113" s="6" t="n"/>
      <c r="K113" s="6" t="n"/>
      <c r="L113" s="14" t="n"/>
      <c r="M113" s="14" t="n"/>
      <c r="N113" s="6" t="n"/>
      <c r="O113" s="14" t="n"/>
      <c r="P113" s="4" t="n"/>
      <c r="Q113" s="15">
        <f>IF($E113="","",ROUND(('Settings'!$B$6-$E113)/30.4375,1))</f>
        <v/>
      </c>
      <c r="R113" s="16">
        <f>IF(OR($E113="",N($F113)=0),"",$Q113/$F113)</f>
        <v/>
      </c>
      <c r="S113" s="16">
        <f>IF(N($K113)=0,"",N($J113)/$K113)</f>
        <v/>
      </c>
      <c r="T113" s="17">
        <f>IF(OR($H113="",$G113=""),"",$H113+$G113*7)</f>
        <v/>
      </c>
      <c r="U113" s="9">
        <f>IF(OR($A113="",NOT(OR($P113="Active",$P113="Retention"))),"",IF(AND($I113&lt;&gt;"",$I113&gt;='Settings'!$B$6),"Booked",IF($T113="","",IF('Settings'!$B$6&gt;$T113+'Settings'!$B$7,"Overdue",IF($T113&lt;='Settings'!$B$6+7,"Due this week","On schedule")))))</f>
        <v/>
      </c>
      <c r="V113" s="15">
        <f>IF(OR($L113="",N($N113)=0),"",($L113-N($M113))/$N113)</f>
        <v/>
      </c>
      <c r="W113" s="15">
        <f>IF(OR($L113="",$E113=""),"",MIN($L113,N($M113)+N($V113)*MIN(N($N113),MAX(0,((YEAR('Settings'!$B$6)-YEAR($E113))*12+MONTH('Settings'!$B$6)-MONTH($E113)-IF(DAY('Settings'!$B$6)&lt;DAY($E113),1,0))))))</f>
        <v/>
      </c>
      <c r="X113" s="15">
        <f>IF($L113="","",$L113-N($O113))</f>
        <v/>
      </c>
      <c r="Y113" s="15">
        <f>IF($W113="","",MAX(0,$W113-N($O113)))</f>
        <v/>
      </c>
      <c r="Z113" s="9">
        <f>IF(OR($A113="",$L113=""),"",IF($X113&lt;=0,"Paid in full",IF($Y113&lt;1,"On track",IF($Y113&lt;=$V113,"1 instalment behind","Behind"))))</f>
        <v/>
      </c>
      <c r="AA113" s="18">
        <f>IF($U113="Overdue",COUNTIF($U$3:$U113,"Overdue"),"")</f>
        <v/>
      </c>
    </row>
    <row r="114">
      <c r="A114" s="4" t="n"/>
      <c r="B114" s="4" t="n"/>
      <c r="C114" s="4" t="n"/>
      <c r="D114" s="4" t="n"/>
      <c r="E114" s="5" t="n"/>
      <c r="F114" s="6" t="n"/>
      <c r="G114" s="6" t="n"/>
      <c r="H114" s="5" t="n"/>
      <c r="I114" s="5" t="n"/>
      <c r="J114" s="6" t="n"/>
      <c r="K114" s="6" t="n"/>
      <c r="L114" s="14" t="n"/>
      <c r="M114" s="14" t="n"/>
      <c r="N114" s="6" t="n"/>
      <c r="O114" s="14" t="n"/>
      <c r="P114" s="4" t="n"/>
      <c r="Q114" s="15">
        <f>IF($E114="","",ROUND(('Settings'!$B$6-$E114)/30.4375,1))</f>
        <v/>
      </c>
      <c r="R114" s="16">
        <f>IF(OR($E114="",N($F114)=0),"",$Q114/$F114)</f>
        <v/>
      </c>
      <c r="S114" s="16">
        <f>IF(N($K114)=0,"",N($J114)/$K114)</f>
        <v/>
      </c>
      <c r="T114" s="17">
        <f>IF(OR($H114="",$G114=""),"",$H114+$G114*7)</f>
        <v/>
      </c>
      <c r="U114" s="9">
        <f>IF(OR($A114="",NOT(OR($P114="Active",$P114="Retention"))),"",IF(AND($I114&lt;&gt;"",$I114&gt;='Settings'!$B$6),"Booked",IF($T114="","",IF('Settings'!$B$6&gt;$T114+'Settings'!$B$7,"Overdue",IF($T114&lt;='Settings'!$B$6+7,"Due this week","On schedule")))))</f>
        <v/>
      </c>
      <c r="V114" s="15">
        <f>IF(OR($L114="",N($N114)=0),"",($L114-N($M114))/$N114)</f>
        <v/>
      </c>
      <c r="W114" s="15">
        <f>IF(OR($L114="",$E114=""),"",MIN($L114,N($M114)+N($V114)*MIN(N($N114),MAX(0,((YEAR('Settings'!$B$6)-YEAR($E114))*12+MONTH('Settings'!$B$6)-MONTH($E114)-IF(DAY('Settings'!$B$6)&lt;DAY($E114),1,0))))))</f>
        <v/>
      </c>
      <c r="X114" s="15">
        <f>IF($L114="","",$L114-N($O114))</f>
        <v/>
      </c>
      <c r="Y114" s="15">
        <f>IF($W114="","",MAX(0,$W114-N($O114)))</f>
        <v/>
      </c>
      <c r="Z114" s="9">
        <f>IF(OR($A114="",$L114=""),"",IF($X114&lt;=0,"Paid in full",IF($Y114&lt;1,"On track",IF($Y114&lt;=$V114,"1 instalment behind","Behind"))))</f>
        <v/>
      </c>
      <c r="AA114" s="18">
        <f>IF($U114="Overdue",COUNTIF($U$3:$U114,"Overdue"),"")</f>
        <v/>
      </c>
    </row>
    <row r="115">
      <c r="A115" s="4" t="n"/>
      <c r="B115" s="4" t="n"/>
      <c r="C115" s="4" t="n"/>
      <c r="D115" s="4" t="n"/>
      <c r="E115" s="5" t="n"/>
      <c r="F115" s="6" t="n"/>
      <c r="G115" s="6" t="n"/>
      <c r="H115" s="5" t="n"/>
      <c r="I115" s="5" t="n"/>
      <c r="J115" s="6" t="n"/>
      <c r="K115" s="6" t="n"/>
      <c r="L115" s="14" t="n"/>
      <c r="M115" s="14" t="n"/>
      <c r="N115" s="6" t="n"/>
      <c r="O115" s="14" t="n"/>
      <c r="P115" s="4" t="n"/>
      <c r="Q115" s="15">
        <f>IF($E115="","",ROUND(('Settings'!$B$6-$E115)/30.4375,1))</f>
        <v/>
      </c>
      <c r="R115" s="16">
        <f>IF(OR($E115="",N($F115)=0),"",$Q115/$F115)</f>
        <v/>
      </c>
      <c r="S115" s="16">
        <f>IF(N($K115)=0,"",N($J115)/$K115)</f>
        <v/>
      </c>
      <c r="T115" s="17">
        <f>IF(OR($H115="",$G115=""),"",$H115+$G115*7)</f>
        <v/>
      </c>
      <c r="U115" s="9">
        <f>IF(OR($A115="",NOT(OR($P115="Active",$P115="Retention"))),"",IF(AND($I115&lt;&gt;"",$I115&gt;='Settings'!$B$6),"Booked",IF($T115="","",IF('Settings'!$B$6&gt;$T115+'Settings'!$B$7,"Overdue",IF($T115&lt;='Settings'!$B$6+7,"Due this week","On schedule")))))</f>
        <v/>
      </c>
      <c r="V115" s="15">
        <f>IF(OR($L115="",N($N115)=0),"",($L115-N($M115))/$N115)</f>
        <v/>
      </c>
      <c r="W115" s="15">
        <f>IF(OR($L115="",$E115=""),"",MIN($L115,N($M115)+N($V115)*MIN(N($N115),MAX(0,((YEAR('Settings'!$B$6)-YEAR($E115))*12+MONTH('Settings'!$B$6)-MONTH($E115)-IF(DAY('Settings'!$B$6)&lt;DAY($E115),1,0))))))</f>
        <v/>
      </c>
      <c r="X115" s="15">
        <f>IF($L115="","",$L115-N($O115))</f>
        <v/>
      </c>
      <c r="Y115" s="15">
        <f>IF($W115="","",MAX(0,$W115-N($O115)))</f>
        <v/>
      </c>
      <c r="Z115" s="9">
        <f>IF(OR($A115="",$L115=""),"",IF($X115&lt;=0,"Paid in full",IF($Y115&lt;1,"On track",IF($Y115&lt;=$V115,"1 instalment behind","Behind"))))</f>
        <v/>
      </c>
      <c r="AA115" s="18">
        <f>IF($U115="Overdue",COUNTIF($U$3:$U115,"Overdue"),"")</f>
        <v/>
      </c>
    </row>
    <row r="116">
      <c r="A116" s="4" t="n"/>
      <c r="B116" s="4" t="n"/>
      <c r="C116" s="4" t="n"/>
      <c r="D116" s="4" t="n"/>
      <c r="E116" s="5" t="n"/>
      <c r="F116" s="6" t="n"/>
      <c r="G116" s="6" t="n"/>
      <c r="H116" s="5" t="n"/>
      <c r="I116" s="5" t="n"/>
      <c r="J116" s="6" t="n"/>
      <c r="K116" s="6" t="n"/>
      <c r="L116" s="14" t="n"/>
      <c r="M116" s="14" t="n"/>
      <c r="N116" s="6" t="n"/>
      <c r="O116" s="14" t="n"/>
      <c r="P116" s="4" t="n"/>
      <c r="Q116" s="15">
        <f>IF($E116="","",ROUND(('Settings'!$B$6-$E116)/30.4375,1))</f>
        <v/>
      </c>
      <c r="R116" s="16">
        <f>IF(OR($E116="",N($F116)=0),"",$Q116/$F116)</f>
        <v/>
      </c>
      <c r="S116" s="16">
        <f>IF(N($K116)=0,"",N($J116)/$K116)</f>
        <v/>
      </c>
      <c r="T116" s="17">
        <f>IF(OR($H116="",$G116=""),"",$H116+$G116*7)</f>
        <v/>
      </c>
      <c r="U116" s="9">
        <f>IF(OR($A116="",NOT(OR($P116="Active",$P116="Retention"))),"",IF(AND($I116&lt;&gt;"",$I116&gt;='Settings'!$B$6),"Booked",IF($T116="","",IF('Settings'!$B$6&gt;$T116+'Settings'!$B$7,"Overdue",IF($T116&lt;='Settings'!$B$6+7,"Due this week","On schedule")))))</f>
        <v/>
      </c>
      <c r="V116" s="15">
        <f>IF(OR($L116="",N($N116)=0),"",($L116-N($M116))/$N116)</f>
        <v/>
      </c>
      <c r="W116" s="15">
        <f>IF(OR($L116="",$E116=""),"",MIN($L116,N($M116)+N($V116)*MIN(N($N116),MAX(0,((YEAR('Settings'!$B$6)-YEAR($E116))*12+MONTH('Settings'!$B$6)-MONTH($E116)-IF(DAY('Settings'!$B$6)&lt;DAY($E116),1,0))))))</f>
        <v/>
      </c>
      <c r="X116" s="15">
        <f>IF($L116="","",$L116-N($O116))</f>
        <v/>
      </c>
      <c r="Y116" s="15">
        <f>IF($W116="","",MAX(0,$W116-N($O116)))</f>
        <v/>
      </c>
      <c r="Z116" s="9">
        <f>IF(OR($A116="",$L116=""),"",IF($X116&lt;=0,"Paid in full",IF($Y116&lt;1,"On track",IF($Y116&lt;=$V116,"1 instalment behind","Behind"))))</f>
        <v/>
      </c>
      <c r="AA116" s="18">
        <f>IF($U116="Overdue",COUNTIF($U$3:$U116,"Overdue"),"")</f>
        <v/>
      </c>
    </row>
    <row r="117">
      <c r="A117" s="4" t="n"/>
      <c r="B117" s="4" t="n"/>
      <c r="C117" s="4" t="n"/>
      <c r="D117" s="4" t="n"/>
      <c r="E117" s="5" t="n"/>
      <c r="F117" s="6" t="n"/>
      <c r="G117" s="6" t="n"/>
      <c r="H117" s="5" t="n"/>
      <c r="I117" s="5" t="n"/>
      <c r="J117" s="6" t="n"/>
      <c r="K117" s="6" t="n"/>
      <c r="L117" s="14" t="n"/>
      <c r="M117" s="14" t="n"/>
      <c r="N117" s="6" t="n"/>
      <c r="O117" s="14" t="n"/>
      <c r="P117" s="4" t="n"/>
      <c r="Q117" s="15">
        <f>IF($E117="","",ROUND(('Settings'!$B$6-$E117)/30.4375,1))</f>
        <v/>
      </c>
      <c r="R117" s="16">
        <f>IF(OR($E117="",N($F117)=0),"",$Q117/$F117)</f>
        <v/>
      </c>
      <c r="S117" s="16">
        <f>IF(N($K117)=0,"",N($J117)/$K117)</f>
        <v/>
      </c>
      <c r="T117" s="17">
        <f>IF(OR($H117="",$G117=""),"",$H117+$G117*7)</f>
        <v/>
      </c>
      <c r="U117" s="9">
        <f>IF(OR($A117="",NOT(OR($P117="Active",$P117="Retention"))),"",IF(AND($I117&lt;&gt;"",$I117&gt;='Settings'!$B$6),"Booked",IF($T117="","",IF('Settings'!$B$6&gt;$T117+'Settings'!$B$7,"Overdue",IF($T117&lt;='Settings'!$B$6+7,"Due this week","On schedule")))))</f>
        <v/>
      </c>
      <c r="V117" s="15">
        <f>IF(OR($L117="",N($N117)=0),"",($L117-N($M117))/$N117)</f>
        <v/>
      </c>
      <c r="W117" s="15">
        <f>IF(OR($L117="",$E117=""),"",MIN($L117,N($M117)+N($V117)*MIN(N($N117),MAX(0,((YEAR('Settings'!$B$6)-YEAR($E117))*12+MONTH('Settings'!$B$6)-MONTH($E117)-IF(DAY('Settings'!$B$6)&lt;DAY($E117),1,0))))))</f>
        <v/>
      </c>
      <c r="X117" s="15">
        <f>IF($L117="","",$L117-N($O117))</f>
        <v/>
      </c>
      <c r="Y117" s="15">
        <f>IF($W117="","",MAX(0,$W117-N($O117)))</f>
        <v/>
      </c>
      <c r="Z117" s="9">
        <f>IF(OR($A117="",$L117=""),"",IF($X117&lt;=0,"Paid in full",IF($Y117&lt;1,"On track",IF($Y117&lt;=$V117,"1 instalment behind","Behind"))))</f>
        <v/>
      </c>
      <c r="AA117" s="18">
        <f>IF($U117="Overdue",COUNTIF($U$3:$U117,"Overdue"),"")</f>
        <v/>
      </c>
    </row>
    <row r="118">
      <c r="A118" s="4" t="n"/>
      <c r="B118" s="4" t="n"/>
      <c r="C118" s="4" t="n"/>
      <c r="D118" s="4" t="n"/>
      <c r="E118" s="5" t="n"/>
      <c r="F118" s="6" t="n"/>
      <c r="G118" s="6" t="n"/>
      <c r="H118" s="5" t="n"/>
      <c r="I118" s="5" t="n"/>
      <c r="J118" s="6" t="n"/>
      <c r="K118" s="6" t="n"/>
      <c r="L118" s="14" t="n"/>
      <c r="M118" s="14" t="n"/>
      <c r="N118" s="6" t="n"/>
      <c r="O118" s="14" t="n"/>
      <c r="P118" s="4" t="n"/>
      <c r="Q118" s="15">
        <f>IF($E118="","",ROUND(('Settings'!$B$6-$E118)/30.4375,1))</f>
        <v/>
      </c>
      <c r="R118" s="16">
        <f>IF(OR($E118="",N($F118)=0),"",$Q118/$F118)</f>
        <v/>
      </c>
      <c r="S118" s="16">
        <f>IF(N($K118)=0,"",N($J118)/$K118)</f>
        <v/>
      </c>
      <c r="T118" s="17">
        <f>IF(OR($H118="",$G118=""),"",$H118+$G118*7)</f>
        <v/>
      </c>
      <c r="U118" s="9">
        <f>IF(OR($A118="",NOT(OR($P118="Active",$P118="Retention"))),"",IF(AND($I118&lt;&gt;"",$I118&gt;='Settings'!$B$6),"Booked",IF($T118="","",IF('Settings'!$B$6&gt;$T118+'Settings'!$B$7,"Overdue",IF($T118&lt;='Settings'!$B$6+7,"Due this week","On schedule")))))</f>
        <v/>
      </c>
      <c r="V118" s="15">
        <f>IF(OR($L118="",N($N118)=0),"",($L118-N($M118))/$N118)</f>
        <v/>
      </c>
      <c r="W118" s="15">
        <f>IF(OR($L118="",$E118=""),"",MIN($L118,N($M118)+N($V118)*MIN(N($N118),MAX(0,((YEAR('Settings'!$B$6)-YEAR($E118))*12+MONTH('Settings'!$B$6)-MONTH($E118)-IF(DAY('Settings'!$B$6)&lt;DAY($E118),1,0))))))</f>
        <v/>
      </c>
      <c r="X118" s="15">
        <f>IF($L118="","",$L118-N($O118))</f>
        <v/>
      </c>
      <c r="Y118" s="15">
        <f>IF($W118="","",MAX(0,$W118-N($O118)))</f>
        <v/>
      </c>
      <c r="Z118" s="9">
        <f>IF(OR($A118="",$L118=""),"",IF($X118&lt;=0,"Paid in full",IF($Y118&lt;1,"On track",IF($Y118&lt;=$V118,"1 instalment behind","Behind"))))</f>
        <v/>
      </c>
      <c r="AA118" s="18">
        <f>IF($U118="Overdue",COUNTIF($U$3:$U118,"Overdue"),"")</f>
        <v/>
      </c>
    </row>
    <row r="119">
      <c r="A119" s="4" t="n"/>
      <c r="B119" s="4" t="n"/>
      <c r="C119" s="4" t="n"/>
      <c r="D119" s="4" t="n"/>
      <c r="E119" s="5" t="n"/>
      <c r="F119" s="6" t="n"/>
      <c r="G119" s="6" t="n"/>
      <c r="H119" s="5" t="n"/>
      <c r="I119" s="5" t="n"/>
      <c r="J119" s="6" t="n"/>
      <c r="K119" s="6" t="n"/>
      <c r="L119" s="14" t="n"/>
      <c r="M119" s="14" t="n"/>
      <c r="N119" s="6" t="n"/>
      <c r="O119" s="14" t="n"/>
      <c r="P119" s="4" t="n"/>
      <c r="Q119" s="15">
        <f>IF($E119="","",ROUND(('Settings'!$B$6-$E119)/30.4375,1))</f>
        <v/>
      </c>
      <c r="R119" s="16">
        <f>IF(OR($E119="",N($F119)=0),"",$Q119/$F119)</f>
        <v/>
      </c>
      <c r="S119" s="16">
        <f>IF(N($K119)=0,"",N($J119)/$K119)</f>
        <v/>
      </c>
      <c r="T119" s="17">
        <f>IF(OR($H119="",$G119=""),"",$H119+$G119*7)</f>
        <v/>
      </c>
      <c r="U119" s="9">
        <f>IF(OR($A119="",NOT(OR($P119="Active",$P119="Retention"))),"",IF(AND($I119&lt;&gt;"",$I119&gt;='Settings'!$B$6),"Booked",IF($T119="","",IF('Settings'!$B$6&gt;$T119+'Settings'!$B$7,"Overdue",IF($T119&lt;='Settings'!$B$6+7,"Due this week","On schedule")))))</f>
        <v/>
      </c>
      <c r="V119" s="15">
        <f>IF(OR($L119="",N($N119)=0),"",($L119-N($M119))/$N119)</f>
        <v/>
      </c>
      <c r="W119" s="15">
        <f>IF(OR($L119="",$E119=""),"",MIN($L119,N($M119)+N($V119)*MIN(N($N119),MAX(0,((YEAR('Settings'!$B$6)-YEAR($E119))*12+MONTH('Settings'!$B$6)-MONTH($E119)-IF(DAY('Settings'!$B$6)&lt;DAY($E119),1,0))))))</f>
        <v/>
      </c>
      <c r="X119" s="15">
        <f>IF($L119="","",$L119-N($O119))</f>
        <v/>
      </c>
      <c r="Y119" s="15">
        <f>IF($W119="","",MAX(0,$W119-N($O119)))</f>
        <v/>
      </c>
      <c r="Z119" s="9">
        <f>IF(OR($A119="",$L119=""),"",IF($X119&lt;=0,"Paid in full",IF($Y119&lt;1,"On track",IF($Y119&lt;=$V119,"1 instalment behind","Behind"))))</f>
        <v/>
      </c>
      <c r="AA119" s="18">
        <f>IF($U119="Overdue",COUNTIF($U$3:$U119,"Overdue"),"")</f>
        <v/>
      </c>
    </row>
    <row r="120">
      <c r="A120" s="4" t="n"/>
      <c r="B120" s="4" t="n"/>
      <c r="C120" s="4" t="n"/>
      <c r="D120" s="4" t="n"/>
      <c r="E120" s="5" t="n"/>
      <c r="F120" s="6" t="n"/>
      <c r="G120" s="6" t="n"/>
      <c r="H120" s="5" t="n"/>
      <c r="I120" s="5" t="n"/>
      <c r="J120" s="6" t="n"/>
      <c r="K120" s="6" t="n"/>
      <c r="L120" s="14" t="n"/>
      <c r="M120" s="14" t="n"/>
      <c r="N120" s="6" t="n"/>
      <c r="O120" s="14" t="n"/>
      <c r="P120" s="4" t="n"/>
      <c r="Q120" s="15">
        <f>IF($E120="","",ROUND(('Settings'!$B$6-$E120)/30.4375,1))</f>
        <v/>
      </c>
      <c r="R120" s="16">
        <f>IF(OR($E120="",N($F120)=0),"",$Q120/$F120)</f>
        <v/>
      </c>
      <c r="S120" s="16">
        <f>IF(N($K120)=0,"",N($J120)/$K120)</f>
        <v/>
      </c>
      <c r="T120" s="17">
        <f>IF(OR($H120="",$G120=""),"",$H120+$G120*7)</f>
        <v/>
      </c>
      <c r="U120" s="9">
        <f>IF(OR($A120="",NOT(OR($P120="Active",$P120="Retention"))),"",IF(AND($I120&lt;&gt;"",$I120&gt;='Settings'!$B$6),"Booked",IF($T120="","",IF('Settings'!$B$6&gt;$T120+'Settings'!$B$7,"Overdue",IF($T120&lt;='Settings'!$B$6+7,"Due this week","On schedule")))))</f>
        <v/>
      </c>
      <c r="V120" s="15">
        <f>IF(OR($L120="",N($N120)=0),"",($L120-N($M120))/$N120)</f>
        <v/>
      </c>
      <c r="W120" s="15">
        <f>IF(OR($L120="",$E120=""),"",MIN($L120,N($M120)+N($V120)*MIN(N($N120),MAX(0,((YEAR('Settings'!$B$6)-YEAR($E120))*12+MONTH('Settings'!$B$6)-MONTH($E120)-IF(DAY('Settings'!$B$6)&lt;DAY($E120),1,0))))))</f>
        <v/>
      </c>
      <c r="X120" s="15">
        <f>IF($L120="","",$L120-N($O120))</f>
        <v/>
      </c>
      <c r="Y120" s="15">
        <f>IF($W120="","",MAX(0,$W120-N($O120)))</f>
        <v/>
      </c>
      <c r="Z120" s="9">
        <f>IF(OR($A120="",$L120=""),"",IF($X120&lt;=0,"Paid in full",IF($Y120&lt;1,"On track",IF($Y120&lt;=$V120,"1 instalment behind","Behind"))))</f>
        <v/>
      </c>
      <c r="AA120" s="18">
        <f>IF($U120="Overdue",COUNTIF($U$3:$U120,"Overdue"),"")</f>
        <v/>
      </c>
    </row>
    <row r="121">
      <c r="A121" s="4" t="n"/>
      <c r="B121" s="4" t="n"/>
      <c r="C121" s="4" t="n"/>
      <c r="D121" s="4" t="n"/>
      <c r="E121" s="5" t="n"/>
      <c r="F121" s="6" t="n"/>
      <c r="G121" s="6" t="n"/>
      <c r="H121" s="5" t="n"/>
      <c r="I121" s="5" t="n"/>
      <c r="J121" s="6" t="n"/>
      <c r="K121" s="6" t="n"/>
      <c r="L121" s="14" t="n"/>
      <c r="M121" s="14" t="n"/>
      <c r="N121" s="6" t="n"/>
      <c r="O121" s="14" t="n"/>
      <c r="P121" s="4" t="n"/>
      <c r="Q121" s="15">
        <f>IF($E121="","",ROUND(('Settings'!$B$6-$E121)/30.4375,1))</f>
        <v/>
      </c>
      <c r="R121" s="16">
        <f>IF(OR($E121="",N($F121)=0),"",$Q121/$F121)</f>
        <v/>
      </c>
      <c r="S121" s="16">
        <f>IF(N($K121)=0,"",N($J121)/$K121)</f>
        <v/>
      </c>
      <c r="T121" s="17">
        <f>IF(OR($H121="",$G121=""),"",$H121+$G121*7)</f>
        <v/>
      </c>
      <c r="U121" s="9">
        <f>IF(OR($A121="",NOT(OR($P121="Active",$P121="Retention"))),"",IF(AND($I121&lt;&gt;"",$I121&gt;='Settings'!$B$6),"Booked",IF($T121="","",IF('Settings'!$B$6&gt;$T121+'Settings'!$B$7,"Overdue",IF($T121&lt;='Settings'!$B$6+7,"Due this week","On schedule")))))</f>
        <v/>
      </c>
      <c r="V121" s="15">
        <f>IF(OR($L121="",N($N121)=0),"",($L121-N($M121))/$N121)</f>
        <v/>
      </c>
      <c r="W121" s="15">
        <f>IF(OR($L121="",$E121=""),"",MIN($L121,N($M121)+N($V121)*MIN(N($N121),MAX(0,((YEAR('Settings'!$B$6)-YEAR($E121))*12+MONTH('Settings'!$B$6)-MONTH($E121)-IF(DAY('Settings'!$B$6)&lt;DAY($E121),1,0))))))</f>
        <v/>
      </c>
      <c r="X121" s="15">
        <f>IF($L121="","",$L121-N($O121))</f>
        <v/>
      </c>
      <c r="Y121" s="15">
        <f>IF($W121="","",MAX(0,$W121-N($O121)))</f>
        <v/>
      </c>
      <c r="Z121" s="9">
        <f>IF(OR($A121="",$L121=""),"",IF($X121&lt;=0,"Paid in full",IF($Y121&lt;1,"On track",IF($Y121&lt;=$V121,"1 instalment behind","Behind"))))</f>
        <v/>
      </c>
      <c r="AA121" s="18">
        <f>IF($U121="Overdue",COUNTIF($U$3:$U121,"Overdue"),"")</f>
        <v/>
      </c>
    </row>
    <row r="122">
      <c r="A122" s="4" t="n"/>
      <c r="B122" s="4" t="n"/>
      <c r="C122" s="4" t="n"/>
      <c r="D122" s="4" t="n"/>
      <c r="E122" s="5" t="n"/>
      <c r="F122" s="6" t="n"/>
      <c r="G122" s="6" t="n"/>
      <c r="H122" s="5" t="n"/>
      <c r="I122" s="5" t="n"/>
      <c r="J122" s="6" t="n"/>
      <c r="K122" s="6" t="n"/>
      <c r="L122" s="14" t="n"/>
      <c r="M122" s="14" t="n"/>
      <c r="N122" s="6" t="n"/>
      <c r="O122" s="14" t="n"/>
      <c r="P122" s="4" t="n"/>
      <c r="Q122" s="15">
        <f>IF($E122="","",ROUND(('Settings'!$B$6-$E122)/30.4375,1))</f>
        <v/>
      </c>
      <c r="R122" s="16">
        <f>IF(OR($E122="",N($F122)=0),"",$Q122/$F122)</f>
        <v/>
      </c>
      <c r="S122" s="16">
        <f>IF(N($K122)=0,"",N($J122)/$K122)</f>
        <v/>
      </c>
      <c r="T122" s="17">
        <f>IF(OR($H122="",$G122=""),"",$H122+$G122*7)</f>
        <v/>
      </c>
      <c r="U122" s="9">
        <f>IF(OR($A122="",NOT(OR($P122="Active",$P122="Retention"))),"",IF(AND($I122&lt;&gt;"",$I122&gt;='Settings'!$B$6),"Booked",IF($T122="","",IF('Settings'!$B$6&gt;$T122+'Settings'!$B$7,"Overdue",IF($T122&lt;='Settings'!$B$6+7,"Due this week","On schedule")))))</f>
        <v/>
      </c>
      <c r="V122" s="15">
        <f>IF(OR($L122="",N($N122)=0),"",($L122-N($M122))/$N122)</f>
        <v/>
      </c>
      <c r="W122" s="15">
        <f>IF(OR($L122="",$E122=""),"",MIN($L122,N($M122)+N($V122)*MIN(N($N122),MAX(0,((YEAR('Settings'!$B$6)-YEAR($E122))*12+MONTH('Settings'!$B$6)-MONTH($E122)-IF(DAY('Settings'!$B$6)&lt;DAY($E122),1,0))))))</f>
        <v/>
      </c>
      <c r="X122" s="15">
        <f>IF($L122="","",$L122-N($O122))</f>
        <v/>
      </c>
      <c r="Y122" s="15">
        <f>IF($W122="","",MAX(0,$W122-N($O122)))</f>
        <v/>
      </c>
      <c r="Z122" s="9">
        <f>IF(OR($A122="",$L122=""),"",IF($X122&lt;=0,"Paid in full",IF($Y122&lt;1,"On track",IF($Y122&lt;=$V122,"1 instalment behind","Behind"))))</f>
        <v/>
      </c>
      <c r="AA122" s="18">
        <f>IF($U122="Overdue",COUNTIF($U$3:$U122,"Overdue"),"")</f>
        <v/>
      </c>
    </row>
    <row r="123">
      <c r="A123" s="4" t="n"/>
      <c r="B123" s="4" t="n"/>
      <c r="C123" s="4" t="n"/>
      <c r="D123" s="4" t="n"/>
      <c r="E123" s="5" t="n"/>
      <c r="F123" s="6" t="n"/>
      <c r="G123" s="6" t="n"/>
      <c r="H123" s="5" t="n"/>
      <c r="I123" s="5" t="n"/>
      <c r="J123" s="6" t="n"/>
      <c r="K123" s="6" t="n"/>
      <c r="L123" s="14" t="n"/>
      <c r="M123" s="14" t="n"/>
      <c r="N123" s="6" t="n"/>
      <c r="O123" s="14" t="n"/>
      <c r="P123" s="4" t="n"/>
      <c r="Q123" s="15">
        <f>IF($E123="","",ROUND(('Settings'!$B$6-$E123)/30.4375,1))</f>
        <v/>
      </c>
      <c r="R123" s="16">
        <f>IF(OR($E123="",N($F123)=0),"",$Q123/$F123)</f>
        <v/>
      </c>
      <c r="S123" s="16">
        <f>IF(N($K123)=0,"",N($J123)/$K123)</f>
        <v/>
      </c>
      <c r="T123" s="17">
        <f>IF(OR($H123="",$G123=""),"",$H123+$G123*7)</f>
        <v/>
      </c>
      <c r="U123" s="9">
        <f>IF(OR($A123="",NOT(OR($P123="Active",$P123="Retention"))),"",IF(AND($I123&lt;&gt;"",$I123&gt;='Settings'!$B$6),"Booked",IF($T123="","",IF('Settings'!$B$6&gt;$T123+'Settings'!$B$7,"Overdue",IF($T123&lt;='Settings'!$B$6+7,"Due this week","On schedule")))))</f>
        <v/>
      </c>
      <c r="V123" s="15">
        <f>IF(OR($L123="",N($N123)=0),"",($L123-N($M123))/$N123)</f>
        <v/>
      </c>
      <c r="W123" s="15">
        <f>IF(OR($L123="",$E123=""),"",MIN($L123,N($M123)+N($V123)*MIN(N($N123),MAX(0,((YEAR('Settings'!$B$6)-YEAR($E123))*12+MONTH('Settings'!$B$6)-MONTH($E123)-IF(DAY('Settings'!$B$6)&lt;DAY($E123),1,0))))))</f>
        <v/>
      </c>
      <c r="X123" s="15">
        <f>IF($L123="","",$L123-N($O123))</f>
        <v/>
      </c>
      <c r="Y123" s="15">
        <f>IF($W123="","",MAX(0,$W123-N($O123)))</f>
        <v/>
      </c>
      <c r="Z123" s="9">
        <f>IF(OR($A123="",$L123=""),"",IF($X123&lt;=0,"Paid in full",IF($Y123&lt;1,"On track",IF($Y123&lt;=$V123,"1 instalment behind","Behind"))))</f>
        <v/>
      </c>
      <c r="AA123" s="18">
        <f>IF($U123="Overdue",COUNTIF($U$3:$U123,"Overdue"),"")</f>
        <v/>
      </c>
    </row>
    <row r="124">
      <c r="A124" s="4" t="n"/>
      <c r="B124" s="4" t="n"/>
      <c r="C124" s="4" t="n"/>
      <c r="D124" s="4" t="n"/>
      <c r="E124" s="5" t="n"/>
      <c r="F124" s="6" t="n"/>
      <c r="G124" s="6" t="n"/>
      <c r="H124" s="5" t="n"/>
      <c r="I124" s="5" t="n"/>
      <c r="J124" s="6" t="n"/>
      <c r="K124" s="6" t="n"/>
      <c r="L124" s="14" t="n"/>
      <c r="M124" s="14" t="n"/>
      <c r="N124" s="6" t="n"/>
      <c r="O124" s="14" t="n"/>
      <c r="P124" s="4" t="n"/>
      <c r="Q124" s="15">
        <f>IF($E124="","",ROUND(('Settings'!$B$6-$E124)/30.4375,1))</f>
        <v/>
      </c>
      <c r="R124" s="16">
        <f>IF(OR($E124="",N($F124)=0),"",$Q124/$F124)</f>
        <v/>
      </c>
      <c r="S124" s="16">
        <f>IF(N($K124)=0,"",N($J124)/$K124)</f>
        <v/>
      </c>
      <c r="T124" s="17">
        <f>IF(OR($H124="",$G124=""),"",$H124+$G124*7)</f>
        <v/>
      </c>
      <c r="U124" s="9">
        <f>IF(OR($A124="",NOT(OR($P124="Active",$P124="Retention"))),"",IF(AND($I124&lt;&gt;"",$I124&gt;='Settings'!$B$6),"Booked",IF($T124="","",IF('Settings'!$B$6&gt;$T124+'Settings'!$B$7,"Overdue",IF($T124&lt;='Settings'!$B$6+7,"Due this week","On schedule")))))</f>
        <v/>
      </c>
      <c r="V124" s="15">
        <f>IF(OR($L124="",N($N124)=0),"",($L124-N($M124))/$N124)</f>
        <v/>
      </c>
      <c r="W124" s="15">
        <f>IF(OR($L124="",$E124=""),"",MIN($L124,N($M124)+N($V124)*MIN(N($N124),MAX(0,((YEAR('Settings'!$B$6)-YEAR($E124))*12+MONTH('Settings'!$B$6)-MONTH($E124)-IF(DAY('Settings'!$B$6)&lt;DAY($E124),1,0))))))</f>
        <v/>
      </c>
      <c r="X124" s="15">
        <f>IF($L124="","",$L124-N($O124))</f>
        <v/>
      </c>
      <c r="Y124" s="15">
        <f>IF($W124="","",MAX(0,$W124-N($O124)))</f>
        <v/>
      </c>
      <c r="Z124" s="9">
        <f>IF(OR($A124="",$L124=""),"",IF($X124&lt;=0,"Paid in full",IF($Y124&lt;1,"On track",IF($Y124&lt;=$V124,"1 instalment behind","Behind"))))</f>
        <v/>
      </c>
      <c r="AA124" s="18">
        <f>IF($U124="Overdue",COUNTIF($U$3:$U124,"Overdue"),"")</f>
        <v/>
      </c>
    </row>
    <row r="125">
      <c r="A125" s="4" t="n"/>
      <c r="B125" s="4" t="n"/>
      <c r="C125" s="4" t="n"/>
      <c r="D125" s="4" t="n"/>
      <c r="E125" s="5" t="n"/>
      <c r="F125" s="6" t="n"/>
      <c r="G125" s="6" t="n"/>
      <c r="H125" s="5" t="n"/>
      <c r="I125" s="5" t="n"/>
      <c r="J125" s="6" t="n"/>
      <c r="K125" s="6" t="n"/>
      <c r="L125" s="14" t="n"/>
      <c r="M125" s="14" t="n"/>
      <c r="N125" s="6" t="n"/>
      <c r="O125" s="14" t="n"/>
      <c r="P125" s="4" t="n"/>
      <c r="Q125" s="15">
        <f>IF($E125="","",ROUND(('Settings'!$B$6-$E125)/30.4375,1))</f>
        <v/>
      </c>
      <c r="R125" s="16">
        <f>IF(OR($E125="",N($F125)=0),"",$Q125/$F125)</f>
        <v/>
      </c>
      <c r="S125" s="16">
        <f>IF(N($K125)=0,"",N($J125)/$K125)</f>
        <v/>
      </c>
      <c r="T125" s="17">
        <f>IF(OR($H125="",$G125=""),"",$H125+$G125*7)</f>
        <v/>
      </c>
      <c r="U125" s="9">
        <f>IF(OR($A125="",NOT(OR($P125="Active",$P125="Retention"))),"",IF(AND($I125&lt;&gt;"",$I125&gt;='Settings'!$B$6),"Booked",IF($T125="","",IF('Settings'!$B$6&gt;$T125+'Settings'!$B$7,"Overdue",IF($T125&lt;='Settings'!$B$6+7,"Due this week","On schedule")))))</f>
        <v/>
      </c>
      <c r="V125" s="15">
        <f>IF(OR($L125="",N($N125)=0),"",($L125-N($M125))/$N125)</f>
        <v/>
      </c>
      <c r="W125" s="15">
        <f>IF(OR($L125="",$E125=""),"",MIN($L125,N($M125)+N($V125)*MIN(N($N125),MAX(0,((YEAR('Settings'!$B$6)-YEAR($E125))*12+MONTH('Settings'!$B$6)-MONTH($E125)-IF(DAY('Settings'!$B$6)&lt;DAY($E125),1,0))))))</f>
        <v/>
      </c>
      <c r="X125" s="15">
        <f>IF($L125="","",$L125-N($O125))</f>
        <v/>
      </c>
      <c r="Y125" s="15">
        <f>IF($W125="","",MAX(0,$W125-N($O125)))</f>
        <v/>
      </c>
      <c r="Z125" s="9">
        <f>IF(OR($A125="",$L125=""),"",IF($X125&lt;=0,"Paid in full",IF($Y125&lt;1,"On track",IF($Y125&lt;=$V125,"1 instalment behind","Behind"))))</f>
        <v/>
      </c>
      <c r="AA125" s="18">
        <f>IF($U125="Overdue",COUNTIF($U$3:$U125,"Overdue"),"")</f>
        <v/>
      </c>
    </row>
    <row r="126">
      <c r="A126" s="4" t="n"/>
      <c r="B126" s="4" t="n"/>
      <c r="C126" s="4" t="n"/>
      <c r="D126" s="4" t="n"/>
      <c r="E126" s="5" t="n"/>
      <c r="F126" s="6" t="n"/>
      <c r="G126" s="6" t="n"/>
      <c r="H126" s="5" t="n"/>
      <c r="I126" s="5" t="n"/>
      <c r="J126" s="6" t="n"/>
      <c r="K126" s="6" t="n"/>
      <c r="L126" s="14" t="n"/>
      <c r="M126" s="14" t="n"/>
      <c r="N126" s="6" t="n"/>
      <c r="O126" s="14" t="n"/>
      <c r="P126" s="4" t="n"/>
      <c r="Q126" s="15">
        <f>IF($E126="","",ROUND(('Settings'!$B$6-$E126)/30.4375,1))</f>
        <v/>
      </c>
      <c r="R126" s="16">
        <f>IF(OR($E126="",N($F126)=0),"",$Q126/$F126)</f>
        <v/>
      </c>
      <c r="S126" s="16">
        <f>IF(N($K126)=0,"",N($J126)/$K126)</f>
        <v/>
      </c>
      <c r="T126" s="17">
        <f>IF(OR($H126="",$G126=""),"",$H126+$G126*7)</f>
        <v/>
      </c>
      <c r="U126" s="9">
        <f>IF(OR($A126="",NOT(OR($P126="Active",$P126="Retention"))),"",IF(AND($I126&lt;&gt;"",$I126&gt;='Settings'!$B$6),"Booked",IF($T126="","",IF('Settings'!$B$6&gt;$T126+'Settings'!$B$7,"Overdue",IF($T126&lt;='Settings'!$B$6+7,"Due this week","On schedule")))))</f>
        <v/>
      </c>
      <c r="V126" s="15">
        <f>IF(OR($L126="",N($N126)=0),"",($L126-N($M126))/$N126)</f>
        <v/>
      </c>
      <c r="W126" s="15">
        <f>IF(OR($L126="",$E126=""),"",MIN($L126,N($M126)+N($V126)*MIN(N($N126),MAX(0,((YEAR('Settings'!$B$6)-YEAR($E126))*12+MONTH('Settings'!$B$6)-MONTH($E126)-IF(DAY('Settings'!$B$6)&lt;DAY($E126),1,0))))))</f>
        <v/>
      </c>
      <c r="X126" s="15">
        <f>IF($L126="","",$L126-N($O126))</f>
        <v/>
      </c>
      <c r="Y126" s="15">
        <f>IF($W126="","",MAX(0,$W126-N($O126)))</f>
        <v/>
      </c>
      <c r="Z126" s="9">
        <f>IF(OR($A126="",$L126=""),"",IF($X126&lt;=0,"Paid in full",IF($Y126&lt;1,"On track",IF($Y126&lt;=$V126,"1 instalment behind","Behind"))))</f>
        <v/>
      </c>
      <c r="AA126" s="18">
        <f>IF($U126="Overdue",COUNTIF($U$3:$U126,"Overdue"),"")</f>
        <v/>
      </c>
    </row>
    <row r="127">
      <c r="A127" s="4" t="n"/>
      <c r="B127" s="4" t="n"/>
      <c r="C127" s="4" t="n"/>
      <c r="D127" s="4" t="n"/>
      <c r="E127" s="5" t="n"/>
      <c r="F127" s="6" t="n"/>
      <c r="G127" s="6" t="n"/>
      <c r="H127" s="5" t="n"/>
      <c r="I127" s="5" t="n"/>
      <c r="J127" s="6" t="n"/>
      <c r="K127" s="6" t="n"/>
      <c r="L127" s="14" t="n"/>
      <c r="M127" s="14" t="n"/>
      <c r="N127" s="6" t="n"/>
      <c r="O127" s="14" t="n"/>
      <c r="P127" s="4" t="n"/>
      <c r="Q127" s="15">
        <f>IF($E127="","",ROUND(('Settings'!$B$6-$E127)/30.4375,1))</f>
        <v/>
      </c>
      <c r="R127" s="16">
        <f>IF(OR($E127="",N($F127)=0),"",$Q127/$F127)</f>
        <v/>
      </c>
      <c r="S127" s="16">
        <f>IF(N($K127)=0,"",N($J127)/$K127)</f>
        <v/>
      </c>
      <c r="T127" s="17">
        <f>IF(OR($H127="",$G127=""),"",$H127+$G127*7)</f>
        <v/>
      </c>
      <c r="U127" s="9">
        <f>IF(OR($A127="",NOT(OR($P127="Active",$P127="Retention"))),"",IF(AND($I127&lt;&gt;"",$I127&gt;='Settings'!$B$6),"Booked",IF($T127="","",IF('Settings'!$B$6&gt;$T127+'Settings'!$B$7,"Overdue",IF($T127&lt;='Settings'!$B$6+7,"Due this week","On schedule")))))</f>
        <v/>
      </c>
      <c r="V127" s="15">
        <f>IF(OR($L127="",N($N127)=0),"",($L127-N($M127))/$N127)</f>
        <v/>
      </c>
      <c r="W127" s="15">
        <f>IF(OR($L127="",$E127=""),"",MIN($L127,N($M127)+N($V127)*MIN(N($N127),MAX(0,((YEAR('Settings'!$B$6)-YEAR($E127))*12+MONTH('Settings'!$B$6)-MONTH($E127)-IF(DAY('Settings'!$B$6)&lt;DAY($E127),1,0))))))</f>
        <v/>
      </c>
      <c r="X127" s="15">
        <f>IF($L127="","",$L127-N($O127))</f>
        <v/>
      </c>
      <c r="Y127" s="15">
        <f>IF($W127="","",MAX(0,$W127-N($O127)))</f>
        <v/>
      </c>
      <c r="Z127" s="9">
        <f>IF(OR($A127="",$L127=""),"",IF($X127&lt;=0,"Paid in full",IF($Y127&lt;1,"On track",IF($Y127&lt;=$V127,"1 instalment behind","Behind"))))</f>
        <v/>
      </c>
      <c r="AA127" s="18">
        <f>IF($U127="Overdue",COUNTIF($U$3:$U127,"Overdue"),"")</f>
        <v/>
      </c>
    </row>
    <row r="128">
      <c r="A128" s="4" t="n"/>
      <c r="B128" s="4" t="n"/>
      <c r="C128" s="4" t="n"/>
      <c r="D128" s="4" t="n"/>
      <c r="E128" s="5" t="n"/>
      <c r="F128" s="6" t="n"/>
      <c r="G128" s="6" t="n"/>
      <c r="H128" s="5" t="n"/>
      <c r="I128" s="5" t="n"/>
      <c r="J128" s="6" t="n"/>
      <c r="K128" s="6" t="n"/>
      <c r="L128" s="14" t="n"/>
      <c r="M128" s="14" t="n"/>
      <c r="N128" s="6" t="n"/>
      <c r="O128" s="14" t="n"/>
      <c r="P128" s="4" t="n"/>
      <c r="Q128" s="15">
        <f>IF($E128="","",ROUND(('Settings'!$B$6-$E128)/30.4375,1))</f>
        <v/>
      </c>
      <c r="R128" s="16">
        <f>IF(OR($E128="",N($F128)=0),"",$Q128/$F128)</f>
        <v/>
      </c>
      <c r="S128" s="16">
        <f>IF(N($K128)=0,"",N($J128)/$K128)</f>
        <v/>
      </c>
      <c r="T128" s="17">
        <f>IF(OR($H128="",$G128=""),"",$H128+$G128*7)</f>
        <v/>
      </c>
      <c r="U128" s="9">
        <f>IF(OR($A128="",NOT(OR($P128="Active",$P128="Retention"))),"",IF(AND($I128&lt;&gt;"",$I128&gt;='Settings'!$B$6),"Booked",IF($T128="","",IF('Settings'!$B$6&gt;$T128+'Settings'!$B$7,"Overdue",IF($T128&lt;='Settings'!$B$6+7,"Due this week","On schedule")))))</f>
        <v/>
      </c>
      <c r="V128" s="15">
        <f>IF(OR($L128="",N($N128)=0),"",($L128-N($M128))/$N128)</f>
        <v/>
      </c>
      <c r="W128" s="15">
        <f>IF(OR($L128="",$E128=""),"",MIN($L128,N($M128)+N($V128)*MIN(N($N128),MAX(0,((YEAR('Settings'!$B$6)-YEAR($E128))*12+MONTH('Settings'!$B$6)-MONTH($E128)-IF(DAY('Settings'!$B$6)&lt;DAY($E128),1,0))))))</f>
        <v/>
      </c>
      <c r="X128" s="15">
        <f>IF($L128="","",$L128-N($O128))</f>
        <v/>
      </c>
      <c r="Y128" s="15">
        <f>IF($W128="","",MAX(0,$W128-N($O128)))</f>
        <v/>
      </c>
      <c r="Z128" s="9">
        <f>IF(OR($A128="",$L128=""),"",IF($X128&lt;=0,"Paid in full",IF($Y128&lt;1,"On track",IF($Y128&lt;=$V128,"1 instalment behind","Behind"))))</f>
        <v/>
      </c>
      <c r="AA128" s="18">
        <f>IF($U128="Overdue",COUNTIF($U$3:$U128,"Overdue"),"")</f>
        <v/>
      </c>
    </row>
    <row r="129">
      <c r="A129" s="4" t="n"/>
      <c r="B129" s="4" t="n"/>
      <c r="C129" s="4" t="n"/>
      <c r="D129" s="4" t="n"/>
      <c r="E129" s="5" t="n"/>
      <c r="F129" s="6" t="n"/>
      <c r="G129" s="6" t="n"/>
      <c r="H129" s="5" t="n"/>
      <c r="I129" s="5" t="n"/>
      <c r="J129" s="6" t="n"/>
      <c r="K129" s="6" t="n"/>
      <c r="L129" s="14" t="n"/>
      <c r="M129" s="14" t="n"/>
      <c r="N129" s="6" t="n"/>
      <c r="O129" s="14" t="n"/>
      <c r="P129" s="4" t="n"/>
      <c r="Q129" s="15">
        <f>IF($E129="","",ROUND(('Settings'!$B$6-$E129)/30.4375,1))</f>
        <v/>
      </c>
      <c r="R129" s="16">
        <f>IF(OR($E129="",N($F129)=0),"",$Q129/$F129)</f>
        <v/>
      </c>
      <c r="S129" s="16">
        <f>IF(N($K129)=0,"",N($J129)/$K129)</f>
        <v/>
      </c>
      <c r="T129" s="17">
        <f>IF(OR($H129="",$G129=""),"",$H129+$G129*7)</f>
        <v/>
      </c>
      <c r="U129" s="9">
        <f>IF(OR($A129="",NOT(OR($P129="Active",$P129="Retention"))),"",IF(AND($I129&lt;&gt;"",$I129&gt;='Settings'!$B$6),"Booked",IF($T129="","",IF('Settings'!$B$6&gt;$T129+'Settings'!$B$7,"Overdue",IF($T129&lt;='Settings'!$B$6+7,"Due this week","On schedule")))))</f>
        <v/>
      </c>
      <c r="V129" s="15">
        <f>IF(OR($L129="",N($N129)=0),"",($L129-N($M129))/$N129)</f>
        <v/>
      </c>
      <c r="W129" s="15">
        <f>IF(OR($L129="",$E129=""),"",MIN($L129,N($M129)+N($V129)*MIN(N($N129),MAX(0,((YEAR('Settings'!$B$6)-YEAR($E129))*12+MONTH('Settings'!$B$6)-MONTH($E129)-IF(DAY('Settings'!$B$6)&lt;DAY($E129),1,0))))))</f>
        <v/>
      </c>
      <c r="X129" s="15">
        <f>IF($L129="","",$L129-N($O129))</f>
        <v/>
      </c>
      <c r="Y129" s="15">
        <f>IF($W129="","",MAX(0,$W129-N($O129)))</f>
        <v/>
      </c>
      <c r="Z129" s="9">
        <f>IF(OR($A129="",$L129=""),"",IF($X129&lt;=0,"Paid in full",IF($Y129&lt;1,"On track",IF($Y129&lt;=$V129,"1 instalment behind","Behind"))))</f>
        <v/>
      </c>
      <c r="AA129" s="18">
        <f>IF($U129="Overdue",COUNTIF($U$3:$U129,"Overdue"),"")</f>
        <v/>
      </c>
    </row>
    <row r="130">
      <c r="A130" s="4" t="n"/>
      <c r="B130" s="4" t="n"/>
      <c r="C130" s="4" t="n"/>
      <c r="D130" s="4" t="n"/>
      <c r="E130" s="5" t="n"/>
      <c r="F130" s="6" t="n"/>
      <c r="G130" s="6" t="n"/>
      <c r="H130" s="5" t="n"/>
      <c r="I130" s="5" t="n"/>
      <c r="J130" s="6" t="n"/>
      <c r="K130" s="6" t="n"/>
      <c r="L130" s="14" t="n"/>
      <c r="M130" s="14" t="n"/>
      <c r="N130" s="6" t="n"/>
      <c r="O130" s="14" t="n"/>
      <c r="P130" s="4" t="n"/>
      <c r="Q130" s="15">
        <f>IF($E130="","",ROUND(('Settings'!$B$6-$E130)/30.4375,1))</f>
        <v/>
      </c>
      <c r="R130" s="16">
        <f>IF(OR($E130="",N($F130)=0),"",$Q130/$F130)</f>
        <v/>
      </c>
      <c r="S130" s="16">
        <f>IF(N($K130)=0,"",N($J130)/$K130)</f>
        <v/>
      </c>
      <c r="T130" s="17">
        <f>IF(OR($H130="",$G130=""),"",$H130+$G130*7)</f>
        <v/>
      </c>
      <c r="U130" s="9">
        <f>IF(OR($A130="",NOT(OR($P130="Active",$P130="Retention"))),"",IF(AND($I130&lt;&gt;"",$I130&gt;='Settings'!$B$6),"Booked",IF($T130="","",IF('Settings'!$B$6&gt;$T130+'Settings'!$B$7,"Overdue",IF($T130&lt;='Settings'!$B$6+7,"Due this week","On schedule")))))</f>
        <v/>
      </c>
      <c r="V130" s="15">
        <f>IF(OR($L130="",N($N130)=0),"",($L130-N($M130))/$N130)</f>
        <v/>
      </c>
      <c r="W130" s="15">
        <f>IF(OR($L130="",$E130=""),"",MIN($L130,N($M130)+N($V130)*MIN(N($N130),MAX(0,((YEAR('Settings'!$B$6)-YEAR($E130))*12+MONTH('Settings'!$B$6)-MONTH($E130)-IF(DAY('Settings'!$B$6)&lt;DAY($E130),1,0))))))</f>
        <v/>
      </c>
      <c r="X130" s="15">
        <f>IF($L130="","",$L130-N($O130))</f>
        <v/>
      </c>
      <c r="Y130" s="15">
        <f>IF($W130="","",MAX(0,$W130-N($O130)))</f>
        <v/>
      </c>
      <c r="Z130" s="9">
        <f>IF(OR($A130="",$L130=""),"",IF($X130&lt;=0,"Paid in full",IF($Y130&lt;1,"On track",IF($Y130&lt;=$V130,"1 instalment behind","Behind"))))</f>
        <v/>
      </c>
      <c r="AA130" s="18">
        <f>IF($U130="Overdue",COUNTIF($U$3:$U130,"Overdue"),"")</f>
        <v/>
      </c>
    </row>
    <row r="131">
      <c r="A131" s="4" t="n"/>
      <c r="B131" s="4" t="n"/>
      <c r="C131" s="4" t="n"/>
      <c r="D131" s="4" t="n"/>
      <c r="E131" s="5" t="n"/>
      <c r="F131" s="6" t="n"/>
      <c r="G131" s="6" t="n"/>
      <c r="H131" s="5" t="n"/>
      <c r="I131" s="5" t="n"/>
      <c r="J131" s="6" t="n"/>
      <c r="K131" s="6" t="n"/>
      <c r="L131" s="14" t="n"/>
      <c r="M131" s="14" t="n"/>
      <c r="N131" s="6" t="n"/>
      <c r="O131" s="14" t="n"/>
      <c r="P131" s="4" t="n"/>
      <c r="Q131" s="15">
        <f>IF($E131="","",ROUND(('Settings'!$B$6-$E131)/30.4375,1))</f>
        <v/>
      </c>
      <c r="R131" s="16">
        <f>IF(OR($E131="",N($F131)=0),"",$Q131/$F131)</f>
        <v/>
      </c>
      <c r="S131" s="16">
        <f>IF(N($K131)=0,"",N($J131)/$K131)</f>
        <v/>
      </c>
      <c r="T131" s="17">
        <f>IF(OR($H131="",$G131=""),"",$H131+$G131*7)</f>
        <v/>
      </c>
      <c r="U131" s="9">
        <f>IF(OR($A131="",NOT(OR($P131="Active",$P131="Retention"))),"",IF(AND($I131&lt;&gt;"",$I131&gt;='Settings'!$B$6),"Booked",IF($T131="","",IF('Settings'!$B$6&gt;$T131+'Settings'!$B$7,"Overdue",IF($T131&lt;='Settings'!$B$6+7,"Due this week","On schedule")))))</f>
        <v/>
      </c>
      <c r="V131" s="15">
        <f>IF(OR($L131="",N($N131)=0),"",($L131-N($M131))/$N131)</f>
        <v/>
      </c>
      <c r="W131" s="15">
        <f>IF(OR($L131="",$E131=""),"",MIN($L131,N($M131)+N($V131)*MIN(N($N131),MAX(0,((YEAR('Settings'!$B$6)-YEAR($E131))*12+MONTH('Settings'!$B$6)-MONTH($E131)-IF(DAY('Settings'!$B$6)&lt;DAY($E131),1,0))))))</f>
        <v/>
      </c>
      <c r="X131" s="15">
        <f>IF($L131="","",$L131-N($O131))</f>
        <v/>
      </c>
      <c r="Y131" s="15">
        <f>IF($W131="","",MAX(0,$W131-N($O131)))</f>
        <v/>
      </c>
      <c r="Z131" s="9">
        <f>IF(OR($A131="",$L131=""),"",IF($X131&lt;=0,"Paid in full",IF($Y131&lt;1,"On track",IF($Y131&lt;=$V131,"1 instalment behind","Behind"))))</f>
        <v/>
      </c>
      <c r="AA131" s="18">
        <f>IF($U131="Overdue",COUNTIF($U$3:$U131,"Overdue"),"")</f>
        <v/>
      </c>
    </row>
    <row r="132">
      <c r="A132" s="4" t="n"/>
      <c r="B132" s="4" t="n"/>
      <c r="C132" s="4" t="n"/>
      <c r="D132" s="4" t="n"/>
      <c r="E132" s="5" t="n"/>
      <c r="F132" s="6" t="n"/>
      <c r="G132" s="6" t="n"/>
      <c r="H132" s="5" t="n"/>
      <c r="I132" s="5" t="n"/>
      <c r="J132" s="6" t="n"/>
      <c r="K132" s="6" t="n"/>
      <c r="L132" s="14" t="n"/>
      <c r="M132" s="14" t="n"/>
      <c r="N132" s="6" t="n"/>
      <c r="O132" s="14" t="n"/>
      <c r="P132" s="4" t="n"/>
      <c r="Q132" s="15">
        <f>IF($E132="","",ROUND(('Settings'!$B$6-$E132)/30.4375,1))</f>
        <v/>
      </c>
      <c r="R132" s="16">
        <f>IF(OR($E132="",N($F132)=0),"",$Q132/$F132)</f>
        <v/>
      </c>
      <c r="S132" s="16">
        <f>IF(N($K132)=0,"",N($J132)/$K132)</f>
        <v/>
      </c>
      <c r="T132" s="17">
        <f>IF(OR($H132="",$G132=""),"",$H132+$G132*7)</f>
        <v/>
      </c>
      <c r="U132" s="9">
        <f>IF(OR($A132="",NOT(OR($P132="Active",$P132="Retention"))),"",IF(AND($I132&lt;&gt;"",$I132&gt;='Settings'!$B$6),"Booked",IF($T132="","",IF('Settings'!$B$6&gt;$T132+'Settings'!$B$7,"Overdue",IF($T132&lt;='Settings'!$B$6+7,"Due this week","On schedule")))))</f>
        <v/>
      </c>
      <c r="V132" s="15">
        <f>IF(OR($L132="",N($N132)=0),"",($L132-N($M132))/$N132)</f>
        <v/>
      </c>
      <c r="W132" s="15">
        <f>IF(OR($L132="",$E132=""),"",MIN($L132,N($M132)+N($V132)*MIN(N($N132),MAX(0,((YEAR('Settings'!$B$6)-YEAR($E132))*12+MONTH('Settings'!$B$6)-MONTH($E132)-IF(DAY('Settings'!$B$6)&lt;DAY($E132),1,0))))))</f>
        <v/>
      </c>
      <c r="X132" s="15">
        <f>IF($L132="","",$L132-N($O132))</f>
        <v/>
      </c>
      <c r="Y132" s="15">
        <f>IF($W132="","",MAX(0,$W132-N($O132)))</f>
        <v/>
      </c>
      <c r="Z132" s="9">
        <f>IF(OR($A132="",$L132=""),"",IF($X132&lt;=0,"Paid in full",IF($Y132&lt;1,"On track",IF($Y132&lt;=$V132,"1 instalment behind","Behind"))))</f>
        <v/>
      </c>
      <c r="AA132" s="18">
        <f>IF($U132="Overdue",COUNTIF($U$3:$U132,"Overdue"),"")</f>
        <v/>
      </c>
    </row>
    <row r="133">
      <c r="A133" s="4" t="n"/>
      <c r="B133" s="4" t="n"/>
      <c r="C133" s="4" t="n"/>
      <c r="D133" s="4" t="n"/>
      <c r="E133" s="5" t="n"/>
      <c r="F133" s="6" t="n"/>
      <c r="G133" s="6" t="n"/>
      <c r="H133" s="5" t="n"/>
      <c r="I133" s="5" t="n"/>
      <c r="J133" s="6" t="n"/>
      <c r="K133" s="6" t="n"/>
      <c r="L133" s="14" t="n"/>
      <c r="M133" s="14" t="n"/>
      <c r="N133" s="6" t="n"/>
      <c r="O133" s="14" t="n"/>
      <c r="P133" s="4" t="n"/>
      <c r="Q133" s="15">
        <f>IF($E133="","",ROUND(('Settings'!$B$6-$E133)/30.4375,1))</f>
        <v/>
      </c>
      <c r="R133" s="16">
        <f>IF(OR($E133="",N($F133)=0),"",$Q133/$F133)</f>
        <v/>
      </c>
      <c r="S133" s="16">
        <f>IF(N($K133)=0,"",N($J133)/$K133)</f>
        <v/>
      </c>
      <c r="T133" s="17">
        <f>IF(OR($H133="",$G133=""),"",$H133+$G133*7)</f>
        <v/>
      </c>
      <c r="U133" s="9">
        <f>IF(OR($A133="",NOT(OR($P133="Active",$P133="Retention"))),"",IF(AND($I133&lt;&gt;"",$I133&gt;='Settings'!$B$6),"Booked",IF($T133="","",IF('Settings'!$B$6&gt;$T133+'Settings'!$B$7,"Overdue",IF($T133&lt;='Settings'!$B$6+7,"Due this week","On schedule")))))</f>
        <v/>
      </c>
      <c r="V133" s="15">
        <f>IF(OR($L133="",N($N133)=0),"",($L133-N($M133))/$N133)</f>
        <v/>
      </c>
      <c r="W133" s="15">
        <f>IF(OR($L133="",$E133=""),"",MIN($L133,N($M133)+N($V133)*MIN(N($N133),MAX(0,((YEAR('Settings'!$B$6)-YEAR($E133))*12+MONTH('Settings'!$B$6)-MONTH($E133)-IF(DAY('Settings'!$B$6)&lt;DAY($E133),1,0))))))</f>
        <v/>
      </c>
      <c r="X133" s="15">
        <f>IF($L133="","",$L133-N($O133))</f>
        <v/>
      </c>
      <c r="Y133" s="15">
        <f>IF($W133="","",MAX(0,$W133-N($O133)))</f>
        <v/>
      </c>
      <c r="Z133" s="9">
        <f>IF(OR($A133="",$L133=""),"",IF($X133&lt;=0,"Paid in full",IF($Y133&lt;1,"On track",IF($Y133&lt;=$V133,"1 instalment behind","Behind"))))</f>
        <v/>
      </c>
      <c r="AA133" s="18">
        <f>IF($U133="Overdue",COUNTIF($U$3:$U133,"Overdue"),"")</f>
        <v/>
      </c>
    </row>
    <row r="134">
      <c r="A134" s="4" t="n"/>
      <c r="B134" s="4" t="n"/>
      <c r="C134" s="4" t="n"/>
      <c r="D134" s="4" t="n"/>
      <c r="E134" s="5" t="n"/>
      <c r="F134" s="6" t="n"/>
      <c r="G134" s="6" t="n"/>
      <c r="H134" s="5" t="n"/>
      <c r="I134" s="5" t="n"/>
      <c r="J134" s="6" t="n"/>
      <c r="K134" s="6" t="n"/>
      <c r="L134" s="14" t="n"/>
      <c r="M134" s="14" t="n"/>
      <c r="N134" s="6" t="n"/>
      <c r="O134" s="14" t="n"/>
      <c r="P134" s="4" t="n"/>
      <c r="Q134" s="15">
        <f>IF($E134="","",ROUND(('Settings'!$B$6-$E134)/30.4375,1))</f>
        <v/>
      </c>
      <c r="R134" s="16">
        <f>IF(OR($E134="",N($F134)=0),"",$Q134/$F134)</f>
        <v/>
      </c>
      <c r="S134" s="16">
        <f>IF(N($K134)=0,"",N($J134)/$K134)</f>
        <v/>
      </c>
      <c r="T134" s="17">
        <f>IF(OR($H134="",$G134=""),"",$H134+$G134*7)</f>
        <v/>
      </c>
      <c r="U134" s="9">
        <f>IF(OR($A134="",NOT(OR($P134="Active",$P134="Retention"))),"",IF(AND($I134&lt;&gt;"",$I134&gt;='Settings'!$B$6),"Booked",IF($T134="","",IF('Settings'!$B$6&gt;$T134+'Settings'!$B$7,"Overdue",IF($T134&lt;='Settings'!$B$6+7,"Due this week","On schedule")))))</f>
        <v/>
      </c>
      <c r="V134" s="15">
        <f>IF(OR($L134="",N($N134)=0),"",($L134-N($M134))/$N134)</f>
        <v/>
      </c>
      <c r="W134" s="15">
        <f>IF(OR($L134="",$E134=""),"",MIN($L134,N($M134)+N($V134)*MIN(N($N134),MAX(0,((YEAR('Settings'!$B$6)-YEAR($E134))*12+MONTH('Settings'!$B$6)-MONTH($E134)-IF(DAY('Settings'!$B$6)&lt;DAY($E134),1,0))))))</f>
        <v/>
      </c>
      <c r="X134" s="15">
        <f>IF($L134="","",$L134-N($O134))</f>
        <v/>
      </c>
      <c r="Y134" s="15">
        <f>IF($W134="","",MAX(0,$W134-N($O134)))</f>
        <v/>
      </c>
      <c r="Z134" s="9">
        <f>IF(OR($A134="",$L134=""),"",IF($X134&lt;=0,"Paid in full",IF($Y134&lt;1,"On track",IF($Y134&lt;=$V134,"1 instalment behind","Behind"))))</f>
        <v/>
      </c>
      <c r="AA134" s="18">
        <f>IF($U134="Overdue",COUNTIF($U$3:$U134,"Overdue"),"")</f>
        <v/>
      </c>
    </row>
    <row r="135">
      <c r="A135" s="4" t="n"/>
      <c r="B135" s="4" t="n"/>
      <c r="C135" s="4" t="n"/>
      <c r="D135" s="4" t="n"/>
      <c r="E135" s="5" t="n"/>
      <c r="F135" s="6" t="n"/>
      <c r="G135" s="6" t="n"/>
      <c r="H135" s="5" t="n"/>
      <c r="I135" s="5" t="n"/>
      <c r="J135" s="6" t="n"/>
      <c r="K135" s="6" t="n"/>
      <c r="L135" s="14" t="n"/>
      <c r="M135" s="14" t="n"/>
      <c r="N135" s="6" t="n"/>
      <c r="O135" s="14" t="n"/>
      <c r="P135" s="4" t="n"/>
      <c r="Q135" s="15">
        <f>IF($E135="","",ROUND(('Settings'!$B$6-$E135)/30.4375,1))</f>
        <v/>
      </c>
      <c r="R135" s="16">
        <f>IF(OR($E135="",N($F135)=0),"",$Q135/$F135)</f>
        <v/>
      </c>
      <c r="S135" s="16">
        <f>IF(N($K135)=0,"",N($J135)/$K135)</f>
        <v/>
      </c>
      <c r="T135" s="17">
        <f>IF(OR($H135="",$G135=""),"",$H135+$G135*7)</f>
        <v/>
      </c>
      <c r="U135" s="9">
        <f>IF(OR($A135="",NOT(OR($P135="Active",$P135="Retention"))),"",IF(AND($I135&lt;&gt;"",$I135&gt;='Settings'!$B$6),"Booked",IF($T135="","",IF('Settings'!$B$6&gt;$T135+'Settings'!$B$7,"Overdue",IF($T135&lt;='Settings'!$B$6+7,"Due this week","On schedule")))))</f>
        <v/>
      </c>
      <c r="V135" s="15">
        <f>IF(OR($L135="",N($N135)=0),"",($L135-N($M135))/$N135)</f>
        <v/>
      </c>
      <c r="W135" s="15">
        <f>IF(OR($L135="",$E135=""),"",MIN($L135,N($M135)+N($V135)*MIN(N($N135),MAX(0,((YEAR('Settings'!$B$6)-YEAR($E135))*12+MONTH('Settings'!$B$6)-MONTH($E135)-IF(DAY('Settings'!$B$6)&lt;DAY($E135),1,0))))))</f>
        <v/>
      </c>
      <c r="X135" s="15">
        <f>IF($L135="","",$L135-N($O135))</f>
        <v/>
      </c>
      <c r="Y135" s="15">
        <f>IF($W135="","",MAX(0,$W135-N($O135)))</f>
        <v/>
      </c>
      <c r="Z135" s="9">
        <f>IF(OR($A135="",$L135=""),"",IF($X135&lt;=0,"Paid in full",IF($Y135&lt;1,"On track",IF($Y135&lt;=$V135,"1 instalment behind","Behind"))))</f>
        <v/>
      </c>
      <c r="AA135" s="18">
        <f>IF($U135="Overdue",COUNTIF($U$3:$U135,"Overdue"),"")</f>
        <v/>
      </c>
    </row>
    <row r="136">
      <c r="A136" s="4" t="n"/>
      <c r="B136" s="4" t="n"/>
      <c r="C136" s="4" t="n"/>
      <c r="D136" s="4" t="n"/>
      <c r="E136" s="5" t="n"/>
      <c r="F136" s="6" t="n"/>
      <c r="G136" s="6" t="n"/>
      <c r="H136" s="5" t="n"/>
      <c r="I136" s="5" t="n"/>
      <c r="J136" s="6" t="n"/>
      <c r="K136" s="6" t="n"/>
      <c r="L136" s="14" t="n"/>
      <c r="M136" s="14" t="n"/>
      <c r="N136" s="6" t="n"/>
      <c r="O136" s="14" t="n"/>
      <c r="P136" s="4" t="n"/>
      <c r="Q136" s="15">
        <f>IF($E136="","",ROUND(('Settings'!$B$6-$E136)/30.4375,1))</f>
        <v/>
      </c>
      <c r="R136" s="16">
        <f>IF(OR($E136="",N($F136)=0),"",$Q136/$F136)</f>
        <v/>
      </c>
      <c r="S136" s="16">
        <f>IF(N($K136)=0,"",N($J136)/$K136)</f>
        <v/>
      </c>
      <c r="T136" s="17">
        <f>IF(OR($H136="",$G136=""),"",$H136+$G136*7)</f>
        <v/>
      </c>
      <c r="U136" s="9">
        <f>IF(OR($A136="",NOT(OR($P136="Active",$P136="Retention"))),"",IF(AND($I136&lt;&gt;"",$I136&gt;='Settings'!$B$6),"Booked",IF($T136="","",IF('Settings'!$B$6&gt;$T136+'Settings'!$B$7,"Overdue",IF($T136&lt;='Settings'!$B$6+7,"Due this week","On schedule")))))</f>
        <v/>
      </c>
      <c r="V136" s="15">
        <f>IF(OR($L136="",N($N136)=0),"",($L136-N($M136))/$N136)</f>
        <v/>
      </c>
      <c r="W136" s="15">
        <f>IF(OR($L136="",$E136=""),"",MIN($L136,N($M136)+N($V136)*MIN(N($N136),MAX(0,((YEAR('Settings'!$B$6)-YEAR($E136))*12+MONTH('Settings'!$B$6)-MONTH($E136)-IF(DAY('Settings'!$B$6)&lt;DAY($E136),1,0))))))</f>
        <v/>
      </c>
      <c r="X136" s="15">
        <f>IF($L136="","",$L136-N($O136))</f>
        <v/>
      </c>
      <c r="Y136" s="15">
        <f>IF($W136="","",MAX(0,$W136-N($O136)))</f>
        <v/>
      </c>
      <c r="Z136" s="9">
        <f>IF(OR($A136="",$L136=""),"",IF($X136&lt;=0,"Paid in full",IF($Y136&lt;1,"On track",IF($Y136&lt;=$V136,"1 instalment behind","Behind"))))</f>
        <v/>
      </c>
      <c r="AA136" s="18">
        <f>IF($U136="Overdue",COUNTIF($U$3:$U136,"Overdue"),"")</f>
        <v/>
      </c>
    </row>
    <row r="137">
      <c r="A137" s="4" t="n"/>
      <c r="B137" s="4" t="n"/>
      <c r="C137" s="4" t="n"/>
      <c r="D137" s="4" t="n"/>
      <c r="E137" s="5" t="n"/>
      <c r="F137" s="6" t="n"/>
      <c r="G137" s="6" t="n"/>
      <c r="H137" s="5" t="n"/>
      <c r="I137" s="5" t="n"/>
      <c r="J137" s="6" t="n"/>
      <c r="K137" s="6" t="n"/>
      <c r="L137" s="14" t="n"/>
      <c r="M137" s="14" t="n"/>
      <c r="N137" s="6" t="n"/>
      <c r="O137" s="14" t="n"/>
      <c r="P137" s="4" t="n"/>
      <c r="Q137" s="15">
        <f>IF($E137="","",ROUND(('Settings'!$B$6-$E137)/30.4375,1))</f>
        <v/>
      </c>
      <c r="R137" s="16">
        <f>IF(OR($E137="",N($F137)=0),"",$Q137/$F137)</f>
        <v/>
      </c>
      <c r="S137" s="16">
        <f>IF(N($K137)=0,"",N($J137)/$K137)</f>
        <v/>
      </c>
      <c r="T137" s="17">
        <f>IF(OR($H137="",$G137=""),"",$H137+$G137*7)</f>
        <v/>
      </c>
      <c r="U137" s="9">
        <f>IF(OR($A137="",NOT(OR($P137="Active",$P137="Retention"))),"",IF(AND($I137&lt;&gt;"",$I137&gt;='Settings'!$B$6),"Booked",IF($T137="","",IF('Settings'!$B$6&gt;$T137+'Settings'!$B$7,"Overdue",IF($T137&lt;='Settings'!$B$6+7,"Due this week","On schedule")))))</f>
        <v/>
      </c>
      <c r="V137" s="15">
        <f>IF(OR($L137="",N($N137)=0),"",($L137-N($M137))/$N137)</f>
        <v/>
      </c>
      <c r="W137" s="15">
        <f>IF(OR($L137="",$E137=""),"",MIN($L137,N($M137)+N($V137)*MIN(N($N137),MAX(0,((YEAR('Settings'!$B$6)-YEAR($E137))*12+MONTH('Settings'!$B$6)-MONTH($E137)-IF(DAY('Settings'!$B$6)&lt;DAY($E137),1,0))))))</f>
        <v/>
      </c>
      <c r="X137" s="15">
        <f>IF($L137="","",$L137-N($O137))</f>
        <v/>
      </c>
      <c r="Y137" s="15">
        <f>IF($W137="","",MAX(0,$W137-N($O137)))</f>
        <v/>
      </c>
      <c r="Z137" s="9">
        <f>IF(OR($A137="",$L137=""),"",IF($X137&lt;=0,"Paid in full",IF($Y137&lt;1,"On track",IF($Y137&lt;=$V137,"1 instalment behind","Behind"))))</f>
        <v/>
      </c>
      <c r="AA137" s="18">
        <f>IF($U137="Overdue",COUNTIF($U$3:$U137,"Overdue"),"")</f>
        <v/>
      </c>
    </row>
    <row r="138">
      <c r="A138" s="4" t="n"/>
      <c r="B138" s="4" t="n"/>
      <c r="C138" s="4" t="n"/>
      <c r="D138" s="4" t="n"/>
      <c r="E138" s="5" t="n"/>
      <c r="F138" s="6" t="n"/>
      <c r="G138" s="6" t="n"/>
      <c r="H138" s="5" t="n"/>
      <c r="I138" s="5" t="n"/>
      <c r="J138" s="6" t="n"/>
      <c r="K138" s="6" t="n"/>
      <c r="L138" s="14" t="n"/>
      <c r="M138" s="14" t="n"/>
      <c r="N138" s="6" t="n"/>
      <c r="O138" s="14" t="n"/>
      <c r="P138" s="4" t="n"/>
      <c r="Q138" s="15">
        <f>IF($E138="","",ROUND(('Settings'!$B$6-$E138)/30.4375,1))</f>
        <v/>
      </c>
      <c r="R138" s="16">
        <f>IF(OR($E138="",N($F138)=0),"",$Q138/$F138)</f>
        <v/>
      </c>
      <c r="S138" s="16">
        <f>IF(N($K138)=0,"",N($J138)/$K138)</f>
        <v/>
      </c>
      <c r="T138" s="17">
        <f>IF(OR($H138="",$G138=""),"",$H138+$G138*7)</f>
        <v/>
      </c>
      <c r="U138" s="9">
        <f>IF(OR($A138="",NOT(OR($P138="Active",$P138="Retention"))),"",IF(AND($I138&lt;&gt;"",$I138&gt;='Settings'!$B$6),"Booked",IF($T138="","",IF('Settings'!$B$6&gt;$T138+'Settings'!$B$7,"Overdue",IF($T138&lt;='Settings'!$B$6+7,"Due this week","On schedule")))))</f>
        <v/>
      </c>
      <c r="V138" s="15">
        <f>IF(OR($L138="",N($N138)=0),"",($L138-N($M138))/$N138)</f>
        <v/>
      </c>
      <c r="W138" s="15">
        <f>IF(OR($L138="",$E138=""),"",MIN($L138,N($M138)+N($V138)*MIN(N($N138),MAX(0,((YEAR('Settings'!$B$6)-YEAR($E138))*12+MONTH('Settings'!$B$6)-MONTH($E138)-IF(DAY('Settings'!$B$6)&lt;DAY($E138),1,0))))))</f>
        <v/>
      </c>
      <c r="X138" s="15">
        <f>IF($L138="","",$L138-N($O138))</f>
        <v/>
      </c>
      <c r="Y138" s="15">
        <f>IF($W138="","",MAX(0,$W138-N($O138)))</f>
        <v/>
      </c>
      <c r="Z138" s="9">
        <f>IF(OR($A138="",$L138=""),"",IF($X138&lt;=0,"Paid in full",IF($Y138&lt;1,"On track",IF($Y138&lt;=$V138,"1 instalment behind","Behind"))))</f>
        <v/>
      </c>
      <c r="AA138" s="18">
        <f>IF($U138="Overdue",COUNTIF($U$3:$U138,"Overdue"),"")</f>
        <v/>
      </c>
    </row>
    <row r="139">
      <c r="A139" s="4" t="n"/>
      <c r="B139" s="4" t="n"/>
      <c r="C139" s="4" t="n"/>
      <c r="D139" s="4" t="n"/>
      <c r="E139" s="5" t="n"/>
      <c r="F139" s="6" t="n"/>
      <c r="G139" s="6" t="n"/>
      <c r="H139" s="5" t="n"/>
      <c r="I139" s="5" t="n"/>
      <c r="J139" s="6" t="n"/>
      <c r="K139" s="6" t="n"/>
      <c r="L139" s="14" t="n"/>
      <c r="M139" s="14" t="n"/>
      <c r="N139" s="6" t="n"/>
      <c r="O139" s="14" t="n"/>
      <c r="P139" s="4" t="n"/>
      <c r="Q139" s="15">
        <f>IF($E139="","",ROUND(('Settings'!$B$6-$E139)/30.4375,1))</f>
        <v/>
      </c>
      <c r="R139" s="16">
        <f>IF(OR($E139="",N($F139)=0),"",$Q139/$F139)</f>
        <v/>
      </c>
      <c r="S139" s="16">
        <f>IF(N($K139)=0,"",N($J139)/$K139)</f>
        <v/>
      </c>
      <c r="T139" s="17">
        <f>IF(OR($H139="",$G139=""),"",$H139+$G139*7)</f>
        <v/>
      </c>
      <c r="U139" s="9">
        <f>IF(OR($A139="",NOT(OR($P139="Active",$P139="Retention"))),"",IF(AND($I139&lt;&gt;"",$I139&gt;='Settings'!$B$6),"Booked",IF($T139="","",IF('Settings'!$B$6&gt;$T139+'Settings'!$B$7,"Overdue",IF($T139&lt;='Settings'!$B$6+7,"Due this week","On schedule")))))</f>
        <v/>
      </c>
      <c r="V139" s="15">
        <f>IF(OR($L139="",N($N139)=0),"",($L139-N($M139))/$N139)</f>
        <v/>
      </c>
      <c r="W139" s="15">
        <f>IF(OR($L139="",$E139=""),"",MIN($L139,N($M139)+N($V139)*MIN(N($N139),MAX(0,((YEAR('Settings'!$B$6)-YEAR($E139))*12+MONTH('Settings'!$B$6)-MONTH($E139)-IF(DAY('Settings'!$B$6)&lt;DAY($E139),1,0))))))</f>
        <v/>
      </c>
      <c r="X139" s="15">
        <f>IF($L139="","",$L139-N($O139))</f>
        <v/>
      </c>
      <c r="Y139" s="15">
        <f>IF($W139="","",MAX(0,$W139-N($O139)))</f>
        <v/>
      </c>
      <c r="Z139" s="9">
        <f>IF(OR($A139="",$L139=""),"",IF($X139&lt;=0,"Paid in full",IF($Y139&lt;1,"On track",IF($Y139&lt;=$V139,"1 instalment behind","Behind"))))</f>
        <v/>
      </c>
      <c r="AA139" s="18">
        <f>IF($U139="Overdue",COUNTIF($U$3:$U139,"Overdue"),"")</f>
        <v/>
      </c>
    </row>
    <row r="140">
      <c r="A140" s="4" t="n"/>
      <c r="B140" s="4" t="n"/>
      <c r="C140" s="4" t="n"/>
      <c r="D140" s="4" t="n"/>
      <c r="E140" s="5" t="n"/>
      <c r="F140" s="6" t="n"/>
      <c r="G140" s="6" t="n"/>
      <c r="H140" s="5" t="n"/>
      <c r="I140" s="5" t="n"/>
      <c r="J140" s="6" t="n"/>
      <c r="K140" s="6" t="n"/>
      <c r="L140" s="14" t="n"/>
      <c r="M140" s="14" t="n"/>
      <c r="N140" s="6" t="n"/>
      <c r="O140" s="14" t="n"/>
      <c r="P140" s="4" t="n"/>
      <c r="Q140" s="15">
        <f>IF($E140="","",ROUND(('Settings'!$B$6-$E140)/30.4375,1))</f>
        <v/>
      </c>
      <c r="R140" s="16">
        <f>IF(OR($E140="",N($F140)=0),"",$Q140/$F140)</f>
        <v/>
      </c>
      <c r="S140" s="16">
        <f>IF(N($K140)=0,"",N($J140)/$K140)</f>
        <v/>
      </c>
      <c r="T140" s="17">
        <f>IF(OR($H140="",$G140=""),"",$H140+$G140*7)</f>
        <v/>
      </c>
      <c r="U140" s="9">
        <f>IF(OR($A140="",NOT(OR($P140="Active",$P140="Retention"))),"",IF(AND($I140&lt;&gt;"",$I140&gt;='Settings'!$B$6),"Booked",IF($T140="","",IF('Settings'!$B$6&gt;$T140+'Settings'!$B$7,"Overdue",IF($T140&lt;='Settings'!$B$6+7,"Due this week","On schedule")))))</f>
        <v/>
      </c>
      <c r="V140" s="15">
        <f>IF(OR($L140="",N($N140)=0),"",($L140-N($M140))/$N140)</f>
        <v/>
      </c>
      <c r="W140" s="15">
        <f>IF(OR($L140="",$E140=""),"",MIN($L140,N($M140)+N($V140)*MIN(N($N140),MAX(0,((YEAR('Settings'!$B$6)-YEAR($E140))*12+MONTH('Settings'!$B$6)-MONTH($E140)-IF(DAY('Settings'!$B$6)&lt;DAY($E140),1,0))))))</f>
        <v/>
      </c>
      <c r="X140" s="15">
        <f>IF($L140="","",$L140-N($O140))</f>
        <v/>
      </c>
      <c r="Y140" s="15">
        <f>IF($W140="","",MAX(0,$W140-N($O140)))</f>
        <v/>
      </c>
      <c r="Z140" s="9">
        <f>IF(OR($A140="",$L140=""),"",IF($X140&lt;=0,"Paid in full",IF($Y140&lt;1,"On track",IF($Y140&lt;=$V140,"1 instalment behind","Behind"))))</f>
        <v/>
      </c>
      <c r="AA140" s="18">
        <f>IF($U140="Overdue",COUNTIF($U$3:$U140,"Overdue"),"")</f>
        <v/>
      </c>
    </row>
    <row r="141">
      <c r="A141" s="4" t="n"/>
      <c r="B141" s="4" t="n"/>
      <c r="C141" s="4" t="n"/>
      <c r="D141" s="4" t="n"/>
      <c r="E141" s="5" t="n"/>
      <c r="F141" s="6" t="n"/>
      <c r="G141" s="6" t="n"/>
      <c r="H141" s="5" t="n"/>
      <c r="I141" s="5" t="n"/>
      <c r="J141" s="6" t="n"/>
      <c r="K141" s="6" t="n"/>
      <c r="L141" s="14" t="n"/>
      <c r="M141" s="14" t="n"/>
      <c r="N141" s="6" t="n"/>
      <c r="O141" s="14" t="n"/>
      <c r="P141" s="4" t="n"/>
      <c r="Q141" s="15">
        <f>IF($E141="","",ROUND(('Settings'!$B$6-$E141)/30.4375,1))</f>
        <v/>
      </c>
      <c r="R141" s="16">
        <f>IF(OR($E141="",N($F141)=0),"",$Q141/$F141)</f>
        <v/>
      </c>
      <c r="S141" s="16">
        <f>IF(N($K141)=0,"",N($J141)/$K141)</f>
        <v/>
      </c>
      <c r="T141" s="17">
        <f>IF(OR($H141="",$G141=""),"",$H141+$G141*7)</f>
        <v/>
      </c>
      <c r="U141" s="9">
        <f>IF(OR($A141="",NOT(OR($P141="Active",$P141="Retention"))),"",IF(AND($I141&lt;&gt;"",$I141&gt;='Settings'!$B$6),"Booked",IF($T141="","",IF('Settings'!$B$6&gt;$T141+'Settings'!$B$7,"Overdue",IF($T141&lt;='Settings'!$B$6+7,"Due this week","On schedule")))))</f>
        <v/>
      </c>
      <c r="V141" s="15">
        <f>IF(OR($L141="",N($N141)=0),"",($L141-N($M141))/$N141)</f>
        <v/>
      </c>
      <c r="W141" s="15">
        <f>IF(OR($L141="",$E141=""),"",MIN($L141,N($M141)+N($V141)*MIN(N($N141),MAX(0,((YEAR('Settings'!$B$6)-YEAR($E141))*12+MONTH('Settings'!$B$6)-MONTH($E141)-IF(DAY('Settings'!$B$6)&lt;DAY($E141),1,0))))))</f>
        <v/>
      </c>
      <c r="X141" s="15">
        <f>IF($L141="","",$L141-N($O141))</f>
        <v/>
      </c>
      <c r="Y141" s="15">
        <f>IF($W141="","",MAX(0,$W141-N($O141)))</f>
        <v/>
      </c>
      <c r="Z141" s="9">
        <f>IF(OR($A141="",$L141=""),"",IF($X141&lt;=0,"Paid in full",IF($Y141&lt;1,"On track",IF($Y141&lt;=$V141,"1 instalment behind","Behind"))))</f>
        <v/>
      </c>
      <c r="AA141" s="18">
        <f>IF($U141="Overdue",COUNTIF($U$3:$U141,"Overdue"),"")</f>
        <v/>
      </c>
    </row>
    <row r="142">
      <c r="A142" s="4" t="n"/>
      <c r="B142" s="4" t="n"/>
      <c r="C142" s="4" t="n"/>
      <c r="D142" s="4" t="n"/>
      <c r="E142" s="5" t="n"/>
      <c r="F142" s="6" t="n"/>
      <c r="G142" s="6" t="n"/>
      <c r="H142" s="5" t="n"/>
      <c r="I142" s="5" t="n"/>
      <c r="J142" s="6" t="n"/>
      <c r="K142" s="6" t="n"/>
      <c r="L142" s="14" t="n"/>
      <c r="M142" s="14" t="n"/>
      <c r="N142" s="6" t="n"/>
      <c r="O142" s="14" t="n"/>
      <c r="P142" s="4" t="n"/>
      <c r="Q142" s="15">
        <f>IF($E142="","",ROUND(('Settings'!$B$6-$E142)/30.4375,1))</f>
        <v/>
      </c>
      <c r="R142" s="16">
        <f>IF(OR($E142="",N($F142)=0),"",$Q142/$F142)</f>
        <v/>
      </c>
      <c r="S142" s="16">
        <f>IF(N($K142)=0,"",N($J142)/$K142)</f>
        <v/>
      </c>
      <c r="T142" s="17">
        <f>IF(OR($H142="",$G142=""),"",$H142+$G142*7)</f>
        <v/>
      </c>
      <c r="U142" s="9">
        <f>IF(OR($A142="",NOT(OR($P142="Active",$P142="Retention"))),"",IF(AND($I142&lt;&gt;"",$I142&gt;='Settings'!$B$6),"Booked",IF($T142="","",IF('Settings'!$B$6&gt;$T142+'Settings'!$B$7,"Overdue",IF($T142&lt;='Settings'!$B$6+7,"Due this week","On schedule")))))</f>
        <v/>
      </c>
      <c r="V142" s="15">
        <f>IF(OR($L142="",N($N142)=0),"",($L142-N($M142))/$N142)</f>
        <v/>
      </c>
      <c r="W142" s="15">
        <f>IF(OR($L142="",$E142=""),"",MIN($L142,N($M142)+N($V142)*MIN(N($N142),MAX(0,((YEAR('Settings'!$B$6)-YEAR($E142))*12+MONTH('Settings'!$B$6)-MONTH($E142)-IF(DAY('Settings'!$B$6)&lt;DAY($E142),1,0))))))</f>
        <v/>
      </c>
      <c r="X142" s="15">
        <f>IF($L142="","",$L142-N($O142))</f>
        <v/>
      </c>
      <c r="Y142" s="15">
        <f>IF($W142="","",MAX(0,$W142-N($O142)))</f>
        <v/>
      </c>
      <c r="Z142" s="9">
        <f>IF(OR($A142="",$L142=""),"",IF($X142&lt;=0,"Paid in full",IF($Y142&lt;1,"On track",IF($Y142&lt;=$V142,"1 instalment behind","Behind"))))</f>
        <v/>
      </c>
      <c r="AA142" s="18">
        <f>IF($U142="Overdue",COUNTIF($U$3:$U142,"Overdue"),"")</f>
        <v/>
      </c>
    </row>
    <row r="143">
      <c r="A143" s="4" t="n"/>
      <c r="B143" s="4" t="n"/>
      <c r="C143" s="4" t="n"/>
      <c r="D143" s="4" t="n"/>
      <c r="E143" s="5" t="n"/>
      <c r="F143" s="6" t="n"/>
      <c r="G143" s="6" t="n"/>
      <c r="H143" s="5" t="n"/>
      <c r="I143" s="5" t="n"/>
      <c r="J143" s="6" t="n"/>
      <c r="K143" s="6" t="n"/>
      <c r="L143" s="14" t="n"/>
      <c r="M143" s="14" t="n"/>
      <c r="N143" s="6" t="n"/>
      <c r="O143" s="14" t="n"/>
      <c r="P143" s="4" t="n"/>
      <c r="Q143" s="15">
        <f>IF($E143="","",ROUND(('Settings'!$B$6-$E143)/30.4375,1))</f>
        <v/>
      </c>
      <c r="R143" s="16">
        <f>IF(OR($E143="",N($F143)=0),"",$Q143/$F143)</f>
        <v/>
      </c>
      <c r="S143" s="16">
        <f>IF(N($K143)=0,"",N($J143)/$K143)</f>
        <v/>
      </c>
      <c r="T143" s="17">
        <f>IF(OR($H143="",$G143=""),"",$H143+$G143*7)</f>
        <v/>
      </c>
      <c r="U143" s="9">
        <f>IF(OR($A143="",NOT(OR($P143="Active",$P143="Retention"))),"",IF(AND($I143&lt;&gt;"",$I143&gt;='Settings'!$B$6),"Booked",IF($T143="","",IF('Settings'!$B$6&gt;$T143+'Settings'!$B$7,"Overdue",IF($T143&lt;='Settings'!$B$6+7,"Due this week","On schedule")))))</f>
        <v/>
      </c>
      <c r="V143" s="15">
        <f>IF(OR($L143="",N($N143)=0),"",($L143-N($M143))/$N143)</f>
        <v/>
      </c>
      <c r="W143" s="15">
        <f>IF(OR($L143="",$E143=""),"",MIN($L143,N($M143)+N($V143)*MIN(N($N143),MAX(0,((YEAR('Settings'!$B$6)-YEAR($E143))*12+MONTH('Settings'!$B$6)-MONTH($E143)-IF(DAY('Settings'!$B$6)&lt;DAY($E143),1,0))))))</f>
        <v/>
      </c>
      <c r="X143" s="15">
        <f>IF($L143="","",$L143-N($O143))</f>
        <v/>
      </c>
      <c r="Y143" s="15">
        <f>IF($W143="","",MAX(0,$W143-N($O143)))</f>
        <v/>
      </c>
      <c r="Z143" s="9">
        <f>IF(OR($A143="",$L143=""),"",IF($X143&lt;=0,"Paid in full",IF($Y143&lt;1,"On track",IF($Y143&lt;=$V143,"1 instalment behind","Behind"))))</f>
        <v/>
      </c>
      <c r="AA143" s="18">
        <f>IF($U143="Overdue",COUNTIF($U$3:$U143,"Overdue"),"")</f>
        <v/>
      </c>
    </row>
    <row r="144">
      <c r="A144" s="4" t="n"/>
      <c r="B144" s="4" t="n"/>
      <c r="C144" s="4" t="n"/>
      <c r="D144" s="4" t="n"/>
      <c r="E144" s="5" t="n"/>
      <c r="F144" s="6" t="n"/>
      <c r="G144" s="6" t="n"/>
      <c r="H144" s="5" t="n"/>
      <c r="I144" s="5" t="n"/>
      <c r="J144" s="6" t="n"/>
      <c r="K144" s="6" t="n"/>
      <c r="L144" s="14" t="n"/>
      <c r="M144" s="14" t="n"/>
      <c r="N144" s="6" t="n"/>
      <c r="O144" s="14" t="n"/>
      <c r="P144" s="4" t="n"/>
      <c r="Q144" s="15">
        <f>IF($E144="","",ROUND(('Settings'!$B$6-$E144)/30.4375,1))</f>
        <v/>
      </c>
      <c r="R144" s="16">
        <f>IF(OR($E144="",N($F144)=0),"",$Q144/$F144)</f>
        <v/>
      </c>
      <c r="S144" s="16">
        <f>IF(N($K144)=0,"",N($J144)/$K144)</f>
        <v/>
      </c>
      <c r="T144" s="17">
        <f>IF(OR($H144="",$G144=""),"",$H144+$G144*7)</f>
        <v/>
      </c>
      <c r="U144" s="9">
        <f>IF(OR($A144="",NOT(OR($P144="Active",$P144="Retention"))),"",IF(AND($I144&lt;&gt;"",$I144&gt;='Settings'!$B$6),"Booked",IF($T144="","",IF('Settings'!$B$6&gt;$T144+'Settings'!$B$7,"Overdue",IF($T144&lt;='Settings'!$B$6+7,"Due this week","On schedule")))))</f>
        <v/>
      </c>
      <c r="V144" s="15">
        <f>IF(OR($L144="",N($N144)=0),"",($L144-N($M144))/$N144)</f>
        <v/>
      </c>
      <c r="W144" s="15">
        <f>IF(OR($L144="",$E144=""),"",MIN($L144,N($M144)+N($V144)*MIN(N($N144),MAX(0,((YEAR('Settings'!$B$6)-YEAR($E144))*12+MONTH('Settings'!$B$6)-MONTH($E144)-IF(DAY('Settings'!$B$6)&lt;DAY($E144),1,0))))))</f>
        <v/>
      </c>
      <c r="X144" s="15">
        <f>IF($L144="","",$L144-N($O144))</f>
        <v/>
      </c>
      <c r="Y144" s="15">
        <f>IF($W144="","",MAX(0,$W144-N($O144)))</f>
        <v/>
      </c>
      <c r="Z144" s="9">
        <f>IF(OR($A144="",$L144=""),"",IF($X144&lt;=0,"Paid in full",IF($Y144&lt;1,"On track",IF($Y144&lt;=$V144,"1 instalment behind","Behind"))))</f>
        <v/>
      </c>
      <c r="AA144" s="18">
        <f>IF($U144="Overdue",COUNTIF($U$3:$U144,"Overdue"),"")</f>
        <v/>
      </c>
    </row>
    <row r="145">
      <c r="A145" s="4" t="n"/>
      <c r="B145" s="4" t="n"/>
      <c r="C145" s="4" t="n"/>
      <c r="D145" s="4" t="n"/>
      <c r="E145" s="5" t="n"/>
      <c r="F145" s="6" t="n"/>
      <c r="G145" s="6" t="n"/>
      <c r="H145" s="5" t="n"/>
      <c r="I145" s="5" t="n"/>
      <c r="J145" s="6" t="n"/>
      <c r="K145" s="6" t="n"/>
      <c r="L145" s="14" t="n"/>
      <c r="M145" s="14" t="n"/>
      <c r="N145" s="6" t="n"/>
      <c r="O145" s="14" t="n"/>
      <c r="P145" s="4" t="n"/>
      <c r="Q145" s="15">
        <f>IF($E145="","",ROUND(('Settings'!$B$6-$E145)/30.4375,1))</f>
        <v/>
      </c>
      <c r="R145" s="16">
        <f>IF(OR($E145="",N($F145)=0),"",$Q145/$F145)</f>
        <v/>
      </c>
      <c r="S145" s="16">
        <f>IF(N($K145)=0,"",N($J145)/$K145)</f>
        <v/>
      </c>
      <c r="T145" s="17">
        <f>IF(OR($H145="",$G145=""),"",$H145+$G145*7)</f>
        <v/>
      </c>
      <c r="U145" s="9">
        <f>IF(OR($A145="",NOT(OR($P145="Active",$P145="Retention"))),"",IF(AND($I145&lt;&gt;"",$I145&gt;='Settings'!$B$6),"Booked",IF($T145="","",IF('Settings'!$B$6&gt;$T145+'Settings'!$B$7,"Overdue",IF($T145&lt;='Settings'!$B$6+7,"Due this week","On schedule")))))</f>
        <v/>
      </c>
      <c r="V145" s="15">
        <f>IF(OR($L145="",N($N145)=0),"",($L145-N($M145))/$N145)</f>
        <v/>
      </c>
      <c r="W145" s="15">
        <f>IF(OR($L145="",$E145=""),"",MIN($L145,N($M145)+N($V145)*MIN(N($N145),MAX(0,((YEAR('Settings'!$B$6)-YEAR($E145))*12+MONTH('Settings'!$B$6)-MONTH($E145)-IF(DAY('Settings'!$B$6)&lt;DAY($E145),1,0))))))</f>
        <v/>
      </c>
      <c r="X145" s="15">
        <f>IF($L145="","",$L145-N($O145))</f>
        <v/>
      </c>
      <c r="Y145" s="15">
        <f>IF($W145="","",MAX(0,$W145-N($O145)))</f>
        <v/>
      </c>
      <c r="Z145" s="9">
        <f>IF(OR($A145="",$L145=""),"",IF($X145&lt;=0,"Paid in full",IF($Y145&lt;1,"On track",IF($Y145&lt;=$V145,"1 instalment behind","Behind"))))</f>
        <v/>
      </c>
      <c r="AA145" s="18">
        <f>IF($U145="Overdue",COUNTIF($U$3:$U145,"Overdue"),"")</f>
        <v/>
      </c>
    </row>
    <row r="146">
      <c r="A146" s="4" t="n"/>
      <c r="B146" s="4" t="n"/>
      <c r="C146" s="4" t="n"/>
      <c r="D146" s="4" t="n"/>
      <c r="E146" s="5" t="n"/>
      <c r="F146" s="6" t="n"/>
      <c r="G146" s="6" t="n"/>
      <c r="H146" s="5" t="n"/>
      <c r="I146" s="5" t="n"/>
      <c r="J146" s="6" t="n"/>
      <c r="K146" s="6" t="n"/>
      <c r="L146" s="14" t="n"/>
      <c r="M146" s="14" t="n"/>
      <c r="N146" s="6" t="n"/>
      <c r="O146" s="14" t="n"/>
      <c r="P146" s="4" t="n"/>
      <c r="Q146" s="15">
        <f>IF($E146="","",ROUND(('Settings'!$B$6-$E146)/30.4375,1))</f>
        <v/>
      </c>
      <c r="R146" s="16">
        <f>IF(OR($E146="",N($F146)=0),"",$Q146/$F146)</f>
        <v/>
      </c>
      <c r="S146" s="16">
        <f>IF(N($K146)=0,"",N($J146)/$K146)</f>
        <v/>
      </c>
      <c r="T146" s="17">
        <f>IF(OR($H146="",$G146=""),"",$H146+$G146*7)</f>
        <v/>
      </c>
      <c r="U146" s="9">
        <f>IF(OR($A146="",NOT(OR($P146="Active",$P146="Retention"))),"",IF(AND($I146&lt;&gt;"",$I146&gt;='Settings'!$B$6),"Booked",IF($T146="","",IF('Settings'!$B$6&gt;$T146+'Settings'!$B$7,"Overdue",IF($T146&lt;='Settings'!$B$6+7,"Due this week","On schedule")))))</f>
        <v/>
      </c>
      <c r="V146" s="15">
        <f>IF(OR($L146="",N($N146)=0),"",($L146-N($M146))/$N146)</f>
        <v/>
      </c>
      <c r="W146" s="15">
        <f>IF(OR($L146="",$E146=""),"",MIN($L146,N($M146)+N($V146)*MIN(N($N146),MAX(0,((YEAR('Settings'!$B$6)-YEAR($E146))*12+MONTH('Settings'!$B$6)-MONTH($E146)-IF(DAY('Settings'!$B$6)&lt;DAY($E146),1,0))))))</f>
        <v/>
      </c>
      <c r="X146" s="15">
        <f>IF($L146="","",$L146-N($O146))</f>
        <v/>
      </c>
      <c r="Y146" s="15">
        <f>IF($W146="","",MAX(0,$W146-N($O146)))</f>
        <v/>
      </c>
      <c r="Z146" s="9">
        <f>IF(OR($A146="",$L146=""),"",IF($X146&lt;=0,"Paid in full",IF($Y146&lt;1,"On track",IF($Y146&lt;=$V146,"1 instalment behind","Behind"))))</f>
        <v/>
      </c>
      <c r="AA146" s="18">
        <f>IF($U146="Overdue",COUNTIF($U$3:$U146,"Overdue"),"")</f>
        <v/>
      </c>
    </row>
    <row r="147">
      <c r="A147" s="4" t="n"/>
      <c r="B147" s="4" t="n"/>
      <c r="C147" s="4" t="n"/>
      <c r="D147" s="4" t="n"/>
      <c r="E147" s="5" t="n"/>
      <c r="F147" s="6" t="n"/>
      <c r="G147" s="6" t="n"/>
      <c r="H147" s="5" t="n"/>
      <c r="I147" s="5" t="n"/>
      <c r="J147" s="6" t="n"/>
      <c r="K147" s="6" t="n"/>
      <c r="L147" s="14" t="n"/>
      <c r="M147" s="14" t="n"/>
      <c r="N147" s="6" t="n"/>
      <c r="O147" s="14" t="n"/>
      <c r="P147" s="4" t="n"/>
      <c r="Q147" s="15">
        <f>IF($E147="","",ROUND(('Settings'!$B$6-$E147)/30.4375,1))</f>
        <v/>
      </c>
      <c r="R147" s="16">
        <f>IF(OR($E147="",N($F147)=0),"",$Q147/$F147)</f>
        <v/>
      </c>
      <c r="S147" s="16">
        <f>IF(N($K147)=0,"",N($J147)/$K147)</f>
        <v/>
      </c>
      <c r="T147" s="17">
        <f>IF(OR($H147="",$G147=""),"",$H147+$G147*7)</f>
        <v/>
      </c>
      <c r="U147" s="9">
        <f>IF(OR($A147="",NOT(OR($P147="Active",$P147="Retention"))),"",IF(AND($I147&lt;&gt;"",$I147&gt;='Settings'!$B$6),"Booked",IF($T147="","",IF('Settings'!$B$6&gt;$T147+'Settings'!$B$7,"Overdue",IF($T147&lt;='Settings'!$B$6+7,"Due this week","On schedule")))))</f>
        <v/>
      </c>
      <c r="V147" s="15">
        <f>IF(OR($L147="",N($N147)=0),"",($L147-N($M147))/$N147)</f>
        <v/>
      </c>
      <c r="W147" s="15">
        <f>IF(OR($L147="",$E147=""),"",MIN($L147,N($M147)+N($V147)*MIN(N($N147),MAX(0,((YEAR('Settings'!$B$6)-YEAR($E147))*12+MONTH('Settings'!$B$6)-MONTH($E147)-IF(DAY('Settings'!$B$6)&lt;DAY($E147),1,0))))))</f>
        <v/>
      </c>
      <c r="X147" s="15">
        <f>IF($L147="","",$L147-N($O147))</f>
        <v/>
      </c>
      <c r="Y147" s="15">
        <f>IF($W147="","",MAX(0,$W147-N($O147)))</f>
        <v/>
      </c>
      <c r="Z147" s="9">
        <f>IF(OR($A147="",$L147=""),"",IF($X147&lt;=0,"Paid in full",IF($Y147&lt;1,"On track",IF($Y147&lt;=$V147,"1 instalment behind","Behind"))))</f>
        <v/>
      </c>
      <c r="AA147" s="18">
        <f>IF($U147="Overdue",COUNTIF($U$3:$U147,"Overdue"),"")</f>
        <v/>
      </c>
    </row>
    <row r="148">
      <c r="A148" s="4" t="n"/>
      <c r="B148" s="4" t="n"/>
      <c r="C148" s="4" t="n"/>
      <c r="D148" s="4" t="n"/>
      <c r="E148" s="5" t="n"/>
      <c r="F148" s="6" t="n"/>
      <c r="G148" s="6" t="n"/>
      <c r="H148" s="5" t="n"/>
      <c r="I148" s="5" t="n"/>
      <c r="J148" s="6" t="n"/>
      <c r="K148" s="6" t="n"/>
      <c r="L148" s="14" t="n"/>
      <c r="M148" s="14" t="n"/>
      <c r="N148" s="6" t="n"/>
      <c r="O148" s="14" t="n"/>
      <c r="P148" s="4" t="n"/>
      <c r="Q148" s="15">
        <f>IF($E148="","",ROUND(('Settings'!$B$6-$E148)/30.4375,1))</f>
        <v/>
      </c>
      <c r="R148" s="16">
        <f>IF(OR($E148="",N($F148)=0),"",$Q148/$F148)</f>
        <v/>
      </c>
      <c r="S148" s="16">
        <f>IF(N($K148)=0,"",N($J148)/$K148)</f>
        <v/>
      </c>
      <c r="T148" s="17">
        <f>IF(OR($H148="",$G148=""),"",$H148+$G148*7)</f>
        <v/>
      </c>
      <c r="U148" s="9">
        <f>IF(OR($A148="",NOT(OR($P148="Active",$P148="Retention"))),"",IF(AND($I148&lt;&gt;"",$I148&gt;='Settings'!$B$6),"Booked",IF($T148="","",IF('Settings'!$B$6&gt;$T148+'Settings'!$B$7,"Overdue",IF($T148&lt;='Settings'!$B$6+7,"Due this week","On schedule")))))</f>
        <v/>
      </c>
      <c r="V148" s="15">
        <f>IF(OR($L148="",N($N148)=0),"",($L148-N($M148))/$N148)</f>
        <v/>
      </c>
      <c r="W148" s="15">
        <f>IF(OR($L148="",$E148=""),"",MIN($L148,N($M148)+N($V148)*MIN(N($N148),MAX(0,((YEAR('Settings'!$B$6)-YEAR($E148))*12+MONTH('Settings'!$B$6)-MONTH($E148)-IF(DAY('Settings'!$B$6)&lt;DAY($E148),1,0))))))</f>
        <v/>
      </c>
      <c r="X148" s="15">
        <f>IF($L148="","",$L148-N($O148))</f>
        <v/>
      </c>
      <c r="Y148" s="15">
        <f>IF($W148="","",MAX(0,$W148-N($O148)))</f>
        <v/>
      </c>
      <c r="Z148" s="9">
        <f>IF(OR($A148="",$L148=""),"",IF($X148&lt;=0,"Paid in full",IF($Y148&lt;1,"On track",IF($Y148&lt;=$V148,"1 instalment behind","Behind"))))</f>
        <v/>
      </c>
      <c r="AA148" s="18">
        <f>IF($U148="Overdue",COUNTIF($U$3:$U148,"Overdue"),"")</f>
        <v/>
      </c>
    </row>
    <row r="149">
      <c r="A149" s="4" t="n"/>
      <c r="B149" s="4" t="n"/>
      <c r="C149" s="4" t="n"/>
      <c r="D149" s="4" t="n"/>
      <c r="E149" s="5" t="n"/>
      <c r="F149" s="6" t="n"/>
      <c r="G149" s="6" t="n"/>
      <c r="H149" s="5" t="n"/>
      <c r="I149" s="5" t="n"/>
      <c r="J149" s="6" t="n"/>
      <c r="K149" s="6" t="n"/>
      <c r="L149" s="14" t="n"/>
      <c r="M149" s="14" t="n"/>
      <c r="N149" s="6" t="n"/>
      <c r="O149" s="14" t="n"/>
      <c r="P149" s="4" t="n"/>
      <c r="Q149" s="15">
        <f>IF($E149="","",ROUND(('Settings'!$B$6-$E149)/30.4375,1))</f>
        <v/>
      </c>
      <c r="R149" s="16">
        <f>IF(OR($E149="",N($F149)=0),"",$Q149/$F149)</f>
        <v/>
      </c>
      <c r="S149" s="16">
        <f>IF(N($K149)=0,"",N($J149)/$K149)</f>
        <v/>
      </c>
      <c r="T149" s="17">
        <f>IF(OR($H149="",$G149=""),"",$H149+$G149*7)</f>
        <v/>
      </c>
      <c r="U149" s="9">
        <f>IF(OR($A149="",NOT(OR($P149="Active",$P149="Retention"))),"",IF(AND($I149&lt;&gt;"",$I149&gt;='Settings'!$B$6),"Booked",IF($T149="","",IF('Settings'!$B$6&gt;$T149+'Settings'!$B$7,"Overdue",IF($T149&lt;='Settings'!$B$6+7,"Due this week","On schedule")))))</f>
        <v/>
      </c>
      <c r="V149" s="15">
        <f>IF(OR($L149="",N($N149)=0),"",($L149-N($M149))/$N149)</f>
        <v/>
      </c>
      <c r="W149" s="15">
        <f>IF(OR($L149="",$E149=""),"",MIN($L149,N($M149)+N($V149)*MIN(N($N149),MAX(0,((YEAR('Settings'!$B$6)-YEAR($E149))*12+MONTH('Settings'!$B$6)-MONTH($E149)-IF(DAY('Settings'!$B$6)&lt;DAY($E149),1,0))))))</f>
        <v/>
      </c>
      <c r="X149" s="15">
        <f>IF($L149="","",$L149-N($O149))</f>
        <v/>
      </c>
      <c r="Y149" s="15">
        <f>IF($W149="","",MAX(0,$W149-N($O149)))</f>
        <v/>
      </c>
      <c r="Z149" s="9">
        <f>IF(OR($A149="",$L149=""),"",IF($X149&lt;=0,"Paid in full",IF($Y149&lt;1,"On track",IF($Y149&lt;=$V149,"1 instalment behind","Behind"))))</f>
        <v/>
      </c>
      <c r="AA149" s="18">
        <f>IF($U149="Overdue",COUNTIF($U$3:$U149,"Overdue"),"")</f>
        <v/>
      </c>
    </row>
    <row r="150">
      <c r="A150" s="4" t="n"/>
      <c r="B150" s="4" t="n"/>
      <c r="C150" s="4" t="n"/>
      <c r="D150" s="4" t="n"/>
      <c r="E150" s="5" t="n"/>
      <c r="F150" s="6" t="n"/>
      <c r="G150" s="6" t="n"/>
      <c r="H150" s="5" t="n"/>
      <c r="I150" s="5" t="n"/>
      <c r="J150" s="6" t="n"/>
      <c r="K150" s="6" t="n"/>
      <c r="L150" s="14" t="n"/>
      <c r="M150" s="14" t="n"/>
      <c r="N150" s="6" t="n"/>
      <c r="O150" s="14" t="n"/>
      <c r="P150" s="4" t="n"/>
      <c r="Q150" s="15">
        <f>IF($E150="","",ROUND(('Settings'!$B$6-$E150)/30.4375,1))</f>
        <v/>
      </c>
      <c r="R150" s="16">
        <f>IF(OR($E150="",N($F150)=0),"",$Q150/$F150)</f>
        <v/>
      </c>
      <c r="S150" s="16">
        <f>IF(N($K150)=0,"",N($J150)/$K150)</f>
        <v/>
      </c>
      <c r="T150" s="17">
        <f>IF(OR($H150="",$G150=""),"",$H150+$G150*7)</f>
        <v/>
      </c>
      <c r="U150" s="9">
        <f>IF(OR($A150="",NOT(OR($P150="Active",$P150="Retention"))),"",IF(AND($I150&lt;&gt;"",$I150&gt;='Settings'!$B$6),"Booked",IF($T150="","",IF('Settings'!$B$6&gt;$T150+'Settings'!$B$7,"Overdue",IF($T150&lt;='Settings'!$B$6+7,"Due this week","On schedule")))))</f>
        <v/>
      </c>
      <c r="V150" s="15">
        <f>IF(OR($L150="",N($N150)=0),"",($L150-N($M150))/$N150)</f>
        <v/>
      </c>
      <c r="W150" s="15">
        <f>IF(OR($L150="",$E150=""),"",MIN($L150,N($M150)+N($V150)*MIN(N($N150),MAX(0,((YEAR('Settings'!$B$6)-YEAR($E150))*12+MONTH('Settings'!$B$6)-MONTH($E150)-IF(DAY('Settings'!$B$6)&lt;DAY($E150),1,0))))))</f>
        <v/>
      </c>
      <c r="X150" s="15">
        <f>IF($L150="","",$L150-N($O150))</f>
        <v/>
      </c>
      <c r="Y150" s="15">
        <f>IF($W150="","",MAX(0,$W150-N($O150)))</f>
        <v/>
      </c>
      <c r="Z150" s="9">
        <f>IF(OR($A150="",$L150=""),"",IF($X150&lt;=0,"Paid in full",IF($Y150&lt;1,"On track",IF($Y150&lt;=$V150,"1 instalment behind","Behind"))))</f>
        <v/>
      </c>
      <c r="AA150" s="18">
        <f>IF($U150="Overdue",COUNTIF($U$3:$U150,"Overdue"),"")</f>
        <v/>
      </c>
    </row>
    <row r="151">
      <c r="A151" s="4" t="n"/>
      <c r="B151" s="4" t="n"/>
      <c r="C151" s="4" t="n"/>
      <c r="D151" s="4" t="n"/>
      <c r="E151" s="5" t="n"/>
      <c r="F151" s="6" t="n"/>
      <c r="G151" s="6" t="n"/>
      <c r="H151" s="5" t="n"/>
      <c r="I151" s="5" t="n"/>
      <c r="J151" s="6" t="n"/>
      <c r="K151" s="6" t="n"/>
      <c r="L151" s="14" t="n"/>
      <c r="M151" s="14" t="n"/>
      <c r="N151" s="6" t="n"/>
      <c r="O151" s="14" t="n"/>
      <c r="P151" s="4" t="n"/>
      <c r="Q151" s="15">
        <f>IF($E151="","",ROUND(('Settings'!$B$6-$E151)/30.4375,1))</f>
        <v/>
      </c>
      <c r="R151" s="16">
        <f>IF(OR($E151="",N($F151)=0),"",$Q151/$F151)</f>
        <v/>
      </c>
      <c r="S151" s="16">
        <f>IF(N($K151)=0,"",N($J151)/$K151)</f>
        <v/>
      </c>
      <c r="T151" s="17">
        <f>IF(OR($H151="",$G151=""),"",$H151+$G151*7)</f>
        <v/>
      </c>
      <c r="U151" s="9">
        <f>IF(OR($A151="",NOT(OR($P151="Active",$P151="Retention"))),"",IF(AND($I151&lt;&gt;"",$I151&gt;='Settings'!$B$6),"Booked",IF($T151="","",IF('Settings'!$B$6&gt;$T151+'Settings'!$B$7,"Overdue",IF($T151&lt;='Settings'!$B$6+7,"Due this week","On schedule")))))</f>
        <v/>
      </c>
      <c r="V151" s="15">
        <f>IF(OR($L151="",N($N151)=0),"",($L151-N($M151))/$N151)</f>
        <v/>
      </c>
      <c r="W151" s="15">
        <f>IF(OR($L151="",$E151=""),"",MIN($L151,N($M151)+N($V151)*MIN(N($N151),MAX(0,((YEAR('Settings'!$B$6)-YEAR($E151))*12+MONTH('Settings'!$B$6)-MONTH($E151)-IF(DAY('Settings'!$B$6)&lt;DAY($E151),1,0))))))</f>
        <v/>
      </c>
      <c r="X151" s="15">
        <f>IF($L151="","",$L151-N($O151))</f>
        <v/>
      </c>
      <c r="Y151" s="15">
        <f>IF($W151="","",MAX(0,$W151-N($O151)))</f>
        <v/>
      </c>
      <c r="Z151" s="9">
        <f>IF(OR($A151="",$L151=""),"",IF($X151&lt;=0,"Paid in full",IF($Y151&lt;1,"On track",IF($Y151&lt;=$V151,"1 instalment behind","Behind"))))</f>
        <v/>
      </c>
      <c r="AA151" s="18">
        <f>IF($U151="Overdue",COUNTIF($U$3:$U151,"Overdue"),"")</f>
        <v/>
      </c>
    </row>
    <row r="152">
      <c r="A152" s="4" t="n"/>
      <c r="B152" s="4" t="n"/>
      <c r="C152" s="4" t="n"/>
      <c r="D152" s="4" t="n"/>
      <c r="E152" s="5" t="n"/>
      <c r="F152" s="6" t="n"/>
      <c r="G152" s="6" t="n"/>
      <c r="H152" s="5" t="n"/>
      <c r="I152" s="5" t="n"/>
      <c r="J152" s="6" t="n"/>
      <c r="K152" s="6" t="n"/>
      <c r="L152" s="14" t="n"/>
      <c r="M152" s="14" t="n"/>
      <c r="N152" s="6" t="n"/>
      <c r="O152" s="14" t="n"/>
      <c r="P152" s="4" t="n"/>
      <c r="Q152" s="15">
        <f>IF($E152="","",ROUND(('Settings'!$B$6-$E152)/30.4375,1))</f>
        <v/>
      </c>
      <c r="R152" s="16">
        <f>IF(OR($E152="",N($F152)=0),"",$Q152/$F152)</f>
        <v/>
      </c>
      <c r="S152" s="16">
        <f>IF(N($K152)=0,"",N($J152)/$K152)</f>
        <v/>
      </c>
      <c r="T152" s="17">
        <f>IF(OR($H152="",$G152=""),"",$H152+$G152*7)</f>
        <v/>
      </c>
      <c r="U152" s="9">
        <f>IF(OR($A152="",NOT(OR($P152="Active",$P152="Retention"))),"",IF(AND($I152&lt;&gt;"",$I152&gt;='Settings'!$B$6),"Booked",IF($T152="","",IF('Settings'!$B$6&gt;$T152+'Settings'!$B$7,"Overdue",IF($T152&lt;='Settings'!$B$6+7,"Due this week","On schedule")))))</f>
        <v/>
      </c>
      <c r="V152" s="15">
        <f>IF(OR($L152="",N($N152)=0),"",($L152-N($M152))/$N152)</f>
        <v/>
      </c>
      <c r="W152" s="15">
        <f>IF(OR($L152="",$E152=""),"",MIN($L152,N($M152)+N($V152)*MIN(N($N152),MAX(0,((YEAR('Settings'!$B$6)-YEAR($E152))*12+MONTH('Settings'!$B$6)-MONTH($E152)-IF(DAY('Settings'!$B$6)&lt;DAY($E152),1,0))))))</f>
        <v/>
      </c>
      <c r="X152" s="15">
        <f>IF($L152="","",$L152-N($O152))</f>
        <v/>
      </c>
      <c r="Y152" s="15">
        <f>IF($W152="","",MAX(0,$W152-N($O152)))</f>
        <v/>
      </c>
      <c r="Z152" s="9">
        <f>IF(OR($A152="",$L152=""),"",IF($X152&lt;=0,"Paid in full",IF($Y152&lt;1,"On track",IF($Y152&lt;=$V152,"1 instalment behind","Behind"))))</f>
        <v/>
      </c>
      <c r="AA152" s="18">
        <f>IF($U152="Overdue",COUNTIF($U$3:$U152,"Overdue"),"")</f>
        <v/>
      </c>
    </row>
    <row r="153">
      <c r="A153" s="4" t="n"/>
      <c r="B153" s="4" t="n"/>
      <c r="C153" s="4" t="n"/>
      <c r="D153" s="4" t="n"/>
      <c r="E153" s="5" t="n"/>
      <c r="F153" s="6" t="n"/>
      <c r="G153" s="6" t="n"/>
      <c r="H153" s="5" t="n"/>
      <c r="I153" s="5" t="n"/>
      <c r="J153" s="6" t="n"/>
      <c r="K153" s="6" t="n"/>
      <c r="L153" s="14" t="n"/>
      <c r="M153" s="14" t="n"/>
      <c r="N153" s="6" t="n"/>
      <c r="O153" s="14" t="n"/>
      <c r="P153" s="4" t="n"/>
      <c r="Q153" s="15">
        <f>IF($E153="","",ROUND(('Settings'!$B$6-$E153)/30.4375,1))</f>
        <v/>
      </c>
      <c r="R153" s="16">
        <f>IF(OR($E153="",N($F153)=0),"",$Q153/$F153)</f>
        <v/>
      </c>
      <c r="S153" s="16">
        <f>IF(N($K153)=0,"",N($J153)/$K153)</f>
        <v/>
      </c>
      <c r="T153" s="17">
        <f>IF(OR($H153="",$G153=""),"",$H153+$G153*7)</f>
        <v/>
      </c>
      <c r="U153" s="9">
        <f>IF(OR($A153="",NOT(OR($P153="Active",$P153="Retention"))),"",IF(AND($I153&lt;&gt;"",$I153&gt;='Settings'!$B$6),"Booked",IF($T153="","",IF('Settings'!$B$6&gt;$T153+'Settings'!$B$7,"Overdue",IF($T153&lt;='Settings'!$B$6+7,"Due this week","On schedule")))))</f>
        <v/>
      </c>
      <c r="V153" s="15">
        <f>IF(OR($L153="",N($N153)=0),"",($L153-N($M153))/$N153)</f>
        <v/>
      </c>
      <c r="W153" s="15">
        <f>IF(OR($L153="",$E153=""),"",MIN($L153,N($M153)+N($V153)*MIN(N($N153),MAX(0,((YEAR('Settings'!$B$6)-YEAR($E153))*12+MONTH('Settings'!$B$6)-MONTH($E153)-IF(DAY('Settings'!$B$6)&lt;DAY($E153),1,0))))))</f>
        <v/>
      </c>
      <c r="X153" s="15">
        <f>IF($L153="","",$L153-N($O153))</f>
        <v/>
      </c>
      <c r="Y153" s="15">
        <f>IF($W153="","",MAX(0,$W153-N($O153)))</f>
        <v/>
      </c>
      <c r="Z153" s="9">
        <f>IF(OR($A153="",$L153=""),"",IF($X153&lt;=0,"Paid in full",IF($Y153&lt;1,"On track",IF($Y153&lt;=$V153,"1 instalment behind","Behind"))))</f>
        <v/>
      </c>
      <c r="AA153" s="18">
        <f>IF($U153="Overdue",COUNTIF($U$3:$U153,"Overdue"),"")</f>
        <v/>
      </c>
    </row>
    <row r="154">
      <c r="A154" s="4" t="n"/>
      <c r="B154" s="4" t="n"/>
      <c r="C154" s="4" t="n"/>
      <c r="D154" s="4" t="n"/>
      <c r="E154" s="5" t="n"/>
      <c r="F154" s="6" t="n"/>
      <c r="G154" s="6" t="n"/>
      <c r="H154" s="5" t="n"/>
      <c r="I154" s="5" t="n"/>
      <c r="J154" s="6" t="n"/>
      <c r="K154" s="6" t="n"/>
      <c r="L154" s="14" t="n"/>
      <c r="M154" s="14" t="n"/>
      <c r="N154" s="6" t="n"/>
      <c r="O154" s="14" t="n"/>
      <c r="P154" s="4" t="n"/>
      <c r="Q154" s="15">
        <f>IF($E154="","",ROUND(('Settings'!$B$6-$E154)/30.4375,1))</f>
        <v/>
      </c>
      <c r="R154" s="16">
        <f>IF(OR($E154="",N($F154)=0),"",$Q154/$F154)</f>
        <v/>
      </c>
      <c r="S154" s="16">
        <f>IF(N($K154)=0,"",N($J154)/$K154)</f>
        <v/>
      </c>
      <c r="T154" s="17">
        <f>IF(OR($H154="",$G154=""),"",$H154+$G154*7)</f>
        <v/>
      </c>
      <c r="U154" s="9">
        <f>IF(OR($A154="",NOT(OR($P154="Active",$P154="Retention"))),"",IF(AND($I154&lt;&gt;"",$I154&gt;='Settings'!$B$6),"Booked",IF($T154="","",IF('Settings'!$B$6&gt;$T154+'Settings'!$B$7,"Overdue",IF($T154&lt;='Settings'!$B$6+7,"Due this week","On schedule")))))</f>
        <v/>
      </c>
      <c r="V154" s="15">
        <f>IF(OR($L154="",N($N154)=0),"",($L154-N($M154))/$N154)</f>
        <v/>
      </c>
      <c r="W154" s="15">
        <f>IF(OR($L154="",$E154=""),"",MIN($L154,N($M154)+N($V154)*MIN(N($N154),MAX(0,((YEAR('Settings'!$B$6)-YEAR($E154))*12+MONTH('Settings'!$B$6)-MONTH($E154)-IF(DAY('Settings'!$B$6)&lt;DAY($E154),1,0))))))</f>
        <v/>
      </c>
      <c r="X154" s="15">
        <f>IF($L154="","",$L154-N($O154))</f>
        <v/>
      </c>
      <c r="Y154" s="15">
        <f>IF($W154="","",MAX(0,$W154-N($O154)))</f>
        <v/>
      </c>
      <c r="Z154" s="9">
        <f>IF(OR($A154="",$L154=""),"",IF($X154&lt;=0,"Paid in full",IF($Y154&lt;1,"On track",IF($Y154&lt;=$V154,"1 instalment behind","Behind"))))</f>
        <v/>
      </c>
      <c r="AA154" s="18">
        <f>IF($U154="Overdue",COUNTIF($U$3:$U154,"Overdue"),"")</f>
        <v/>
      </c>
    </row>
    <row r="155">
      <c r="A155" s="4" t="n"/>
      <c r="B155" s="4" t="n"/>
      <c r="C155" s="4" t="n"/>
      <c r="D155" s="4" t="n"/>
      <c r="E155" s="5" t="n"/>
      <c r="F155" s="6" t="n"/>
      <c r="G155" s="6" t="n"/>
      <c r="H155" s="5" t="n"/>
      <c r="I155" s="5" t="n"/>
      <c r="J155" s="6" t="n"/>
      <c r="K155" s="6" t="n"/>
      <c r="L155" s="14" t="n"/>
      <c r="M155" s="14" t="n"/>
      <c r="N155" s="6" t="n"/>
      <c r="O155" s="14" t="n"/>
      <c r="P155" s="4" t="n"/>
      <c r="Q155" s="15">
        <f>IF($E155="","",ROUND(('Settings'!$B$6-$E155)/30.4375,1))</f>
        <v/>
      </c>
      <c r="R155" s="16">
        <f>IF(OR($E155="",N($F155)=0),"",$Q155/$F155)</f>
        <v/>
      </c>
      <c r="S155" s="16">
        <f>IF(N($K155)=0,"",N($J155)/$K155)</f>
        <v/>
      </c>
      <c r="T155" s="17">
        <f>IF(OR($H155="",$G155=""),"",$H155+$G155*7)</f>
        <v/>
      </c>
      <c r="U155" s="9">
        <f>IF(OR($A155="",NOT(OR($P155="Active",$P155="Retention"))),"",IF(AND($I155&lt;&gt;"",$I155&gt;='Settings'!$B$6),"Booked",IF($T155="","",IF('Settings'!$B$6&gt;$T155+'Settings'!$B$7,"Overdue",IF($T155&lt;='Settings'!$B$6+7,"Due this week","On schedule")))))</f>
        <v/>
      </c>
      <c r="V155" s="15">
        <f>IF(OR($L155="",N($N155)=0),"",($L155-N($M155))/$N155)</f>
        <v/>
      </c>
      <c r="W155" s="15">
        <f>IF(OR($L155="",$E155=""),"",MIN($L155,N($M155)+N($V155)*MIN(N($N155),MAX(0,((YEAR('Settings'!$B$6)-YEAR($E155))*12+MONTH('Settings'!$B$6)-MONTH($E155)-IF(DAY('Settings'!$B$6)&lt;DAY($E155),1,0))))))</f>
        <v/>
      </c>
      <c r="X155" s="15">
        <f>IF($L155="","",$L155-N($O155))</f>
        <v/>
      </c>
      <c r="Y155" s="15">
        <f>IF($W155="","",MAX(0,$W155-N($O155)))</f>
        <v/>
      </c>
      <c r="Z155" s="9">
        <f>IF(OR($A155="",$L155=""),"",IF($X155&lt;=0,"Paid in full",IF($Y155&lt;1,"On track",IF($Y155&lt;=$V155,"1 instalment behind","Behind"))))</f>
        <v/>
      </c>
      <c r="AA155" s="18">
        <f>IF($U155="Overdue",COUNTIF($U$3:$U155,"Overdue"),"")</f>
        <v/>
      </c>
    </row>
    <row r="156">
      <c r="A156" s="4" t="n"/>
      <c r="B156" s="4" t="n"/>
      <c r="C156" s="4" t="n"/>
      <c r="D156" s="4" t="n"/>
      <c r="E156" s="5" t="n"/>
      <c r="F156" s="6" t="n"/>
      <c r="G156" s="6" t="n"/>
      <c r="H156" s="5" t="n"/>
      <c r="I156" s="5" t="n"/>
      <c r="J156" s="6" t="n"/>
      <c r="K156" s="6" t="n"/>
      <c r="L156" s="14" t="n"/>
      <c r="M156" s="14" t="n"/>
      <c r="N156" s="6" t="n"/>
      <c r="O156" s="14" t="n"/>
      <c r="P156" s="4" t="n"/>
      <c r="Q156" s="15">
        <f>IF($E156="","",ROUND(('Settings'!$B$6-$E156)/30.4375,1))</f>
        <v/>
      </c>
      <c r="R156" s="16">
        <f>IF(OR($E156="",N($F156)=0),"",$Q156/$F156)</f>
        <v/>
      </c>
      <c r="S156" s="16">
        <f>IF(N($K156)=0,"",N($J156)/$K156)</f>
        <v/>
      </c>
      <c r="T156" s="17">
        <f>IF(OR($H156="",$G156=""),"",$H156+$G156*7)</f>
        <v/>
      </c>
      <c r="U156" s="9">
        <f>IF(OR($A156="",NOT(OR($P156="Active",$P156="Retention"))),"",IF(AND($I156&lt;&gt;"",$I156&gt;='Settings'!$B$6),"Booked",IF($T156="","",IF('Settings'!$B$6&gt;$T156+'Settings'!$B$7,"Overdue",IF($T156&lt;='Settings'!$B$6+7,"Due this week","On schedule")))))</f>
        <v/>
      </c>
      <c r="V156" s="15">
        <f>IF(OR($L156="",N($N156)=0),"",($L156-N($M156))/$N156)</f>
        <v/>
      </c>
      <c r="W156" s="15">
        <f>IF(OR($L156="",$E156=""),"",MIN($L156,N($M156)+N($V156)*MIN(N($N156),MAX(0,((YEAR('Settings'!$B$6)-YEAR($E156))*12+MONTH('Settings'!$B$6)-MONTH($E156)-IF(DAY('Settings'!$B$6)&lt;DAY($E156),1,0))))))</f>
        <v/>
      </c>
      <c r="X156" s="15">
        <f>IF($L156="","",$L156-N($O156))</f>
        <v/>
      </c>
      <c r="Y156" s="15">
        <f>IF($W156="","",MAX(0,$W156-N($O156)))</f>
        <v/>
      </c>
      <c r="Z156" s="9">
        <f>IF(OR($A156="",$L156=""),"",IF($X156&lt;=0,"Paid in full",IF($Y156&lt;1,"On track",IF($Y156&lt;=$V156,"1 instalment behind","Behind"))))</f>
        <v/>
      </c>
      <c r="AA156" s="18">
        <f>IF($U156="Overdue",COUNTIF($U$3:$U156,"Overdue"),"")</f>
        <v/>
      </c>
    </row>
    <row r="157">
      <c r="A157" s="4" t="n"/>
      <c r="B157" s="4" t="n"/>
      <c r="C157" s="4" t="n"/>
      <c r="D157" s="4" t="n"/>
      <c r="E157" s="5" t="n"/>
      <c r="F157" s="6" t="n"/>
      <c r="G157" s="6" t="n"/>
      <c r="H157" s="5" t="n"/>
      <c r="I157" s="5" t="n"/>
      <c r="J157" s="6" t="n"/>
      <c r="K157" s="6" t="n"/>
      <c r="L157" s="14" t="n"/>
      <c r="M157" s="14" t="n"/>
      <c r="N157" s="6" t="n"/>
      <c r="O157" s="14" t="n"/>
      <c r="P157" s="4" t="n"/>
      <c r="Q157" s="15">
        <f>IF($E157="","",ROUND(('Settings'!$B$6-$E157)/30.4375,1))</f>
        <v/>
      </c>
      <c r="R157" s="16">
        <f>IF(OR($E157="",N($F157)=0),"",$Q157/$F157)</f>
        <v/>
      </c>
      <c r="S157" s="16">
        <f>IF(N($K157)=0,"",N($J157)/$K157)</f>
        <v/>
      </c>
      <c r="T157" s="17">
        <f>IF(OR($H157="",$G157=""),"",$H157+$G157*7)</f>
        <v/>
      </c>
      <c r="U157" s="9">
        <f>IF(OR($A157="",NOT(OR($P157="Active",$P157="Retention"))),"",IF(AND($I157&lt;&gt;"",$I157&gt;='Settings'!$B$6),"Booked",IF($T157="","",IF('Settings'!$B$6&gt;$T157+'Settings'!$B$7,"Overdue",IF($T157&lt;='Settings'!$B$6+7,"Due this week","On schedule")))))</f>
        <v/>
      </c>
      <c r="V157" s="15">
        <f>IF(OR($L157="",N($N157)=0),"",($L157-N($M157))/$N157)</f>
        <v/>
      </c>
      <c r="W157" s="15">
        <f>IF(OR($L157="",$E157=""),"",MIN($L157,N($M157)+N($V157)*MIN(N($N157),MAX(0,((YEAR('Settings'!$B$6)-YEAR($E157))*12+MONTH('Settings'!$B$6)-MONTH($E157)-IF(DAY('Settings'!$B$6)&lt;DAY($E157),1,0))))))</f>
        <v/>
      </c>
      <c r="X157" s="15">
        <f>IF($L157="","",$L157-N($O157))</f>
        <v/>
      </c>
      <c r="Y157" s="15">
        <f>IF($W157="","",MAX(0,$W157-N($O157)))</f>
        <v/>
      </c>
      <c r="Z157" s="9">
        <f>IF(OR($A157="",$L157=""),"",IF($X157&lt;=0,"Paid in full",IF($Y157&lt;1,"On track",IF($Y157&lt;=$V157,"1 instalment behind","Behind"))))</f>
        <v/>
      </c>
      <c r="AA157" s="18">
        <f>IF($U157="Overdue",COUNTIF($U$3:$U157,"Overdue"),"")</f>
        <v/>
      </c>
    </row>
    <row r="158">
      <c r="A158" s="4" t="n"/>
      <c r="B158" s="4" t="n"/>
      <c r="C158" s="4" t="n"/>
      <c r="D158" s="4" t="n"/>
      <c r="E158" s="5" t="n"/>
      <c r="F158" s="6" t="n"/>
      <c r="G158" s="6" t="n"/>
      <c r="H158" s="5" t="n"/>
      <c r="I158" s="5" t="n"/>
      <c r="J158" s="6" t="n"/>
      <c r="K158" s="6" t="n"/>
      <c r="L158" s="14" t="n"/>
      <c r="M158" s="14" t="n"/>
      <c r="N158" s="6" t="n"/>
      <c r="O158" s="14" t="n"/>
      <c r="P158" s="4" t="n"/>
      <c r="Q158" s="15">
        <f>IF($E158="","",ROUND(('Settings'!$B$6-$E158)/30.4375,1))</f>
        <v/>
      </c>
      <c r="R158" s="16">
        <f>IF(OR($E158="",N($F158)=0),"",$Q158/$F158)</f>
        <v/>
      </c>
      <c r="S158" s="16">
        <f>IF(N($K158)=0,"",N($J158)/$K158)</f>
        <v/>
      </c>
      <c r="T158" s="17">
        <f>IF(OR($H158="",$G158=""),"",$H158+$G158*7)</f>
        <v/>
      </c>
      <c r="U158" s="9">
        <f>IF(OR($A158="",NOT(OR($P158="Active",$P158="Retention"))),"",IF(AND($I158&lt;&gt;"",$I158&gt;='Settings'!$B$6),"Booked",IF($T158="","",IF('Settings'!$B$6&gt;$T158+'Settings'!$B$7,"Overdue",IF($T158&lt;='Settings'!$B$6+7,"Due this week","On schedule")))))</f>
        <v/>
      </c>
      <c r="V158" s="15">
        <f>IF(OR($L158="",N($N158)=0),"",($L158-N($M158))/$N158)</f>
        <v/>
      </c>
      <c r="W158" s="15">
        <f>IF(OR($L158="",$E158=""),"",MIN($L158,N($M158)+N($V158)*MIN(N($N158),MAX(0,((YEAR('Settings'!$B$6)-YEAR($E158))*12+MONTH('Settings'!$B$6)-MONTH($E158)-IF(DAY('Settings'!$B$6)&lt;DAY($E158),1,0))))))</f>
        <v/>
      </c>
      <c r="X158" s="15">
        <f>IF($L158="","",$L158-N($O158))</f>
        <v/>
      </c>
      <c r="Y158" s="15">
        <f>IF($W158="","",MAX(0,$W158-N($O158)))</f>
        <v/>
      </c>
      <c r="Z158" s="9">
        <f>IF(OR($A158="",$L158=""),"",IF($X158&lt;=0,"Paid in full",IF($Y158&lt;1,"On track",IF($Y158&lt;=$V158,"1 instalment behind","Behind"))))</f>
        <v/>
      </c>
      <c r="AA158" s="18">
        <f>IF($U158="Overdue",COUNTIF($U$3:$U158,"Overdue"),"")</f>
        <v/>
      </c>
    </row>
    <row r="159">
      <c r="A159" s="4" t="n"/>
      <c r="B159" s="4" t="n"/>
      <c r="C159" s="4" t="n"/>
      <c r="D159" s="4" t="n"/>
      <c r="E159" s="5" t="n"/>
      <c r="F159" s="6" t="n"/>
      <c r="G159" s="6" t="n"/>
      <c r="H159" s="5" t="n"/>
      <c r="I159" s="5" t="n"/>
      <c r="J159" s="6" t="n"/>
      <c r="K159" s="6" t="n"/>
      <c r="L159" s="14" t="n"/>
      <c r="M159" s="14" t="n"/>
      <c r="N159" s="6" t="n"/>
      <c r="O159" s="14" t="n"/>
      <c r="P159" s="4" t="n"/>
      <c r="Q159" s="15">
        <f>IF($E159="","",ROUND(('Settings'!$B$6-$E159)/30.4375,1))</f>
        <v/>
      </c>
      <c r="R159" s="16">
        <f>IF(OR($E159="",N($F159)=0),"",$Q159/$F159)</f>
        <v/>
      </c>
      <c r="S159" s="16">
        <f>IF(N($K159)=0,"",N($J159)/$K159)</f>
        <v/>
      </c>
      <c r="T159" s="17">
        <f>IF(OR($H159="",$G159=""),"",$H159+$G159*7)</f>
        <v/>
      </c>
      <c r="U159" s="9">
        <f>IF(OR($A159="",NOT(OR($P159="Active",$P159="Retention"))),"",IF(AND($I159&lt;&gt;"",$I159&gt;='Settings'!$B$6),"Booked",IF($T159="","",IF('Settings'!$B$6&gt;$T159+'Settings'!$B$7,"Overdue",IF($T159&lt;='Settings'!$B$6+7,"Due this week","On schedule")))))</f>
        <v/>
      </c>
      <c r="V159" s="15">
        <f>IF(OR($L159="",N($N159)=0),"",($L159-N($M159))/$N159)</f>
        <v/>
      </c>
      <c r="W159" s="15">
        <f>IF(OR($L159="",$E159=""),"",MIN($L159,N($M159)+N($V159)*MIN(N($N159),MAX(0,((YEAR('Settings'!$B$6)-YEAR($E159))*12+MONTH('Settings'!$B$6)-MONTH($E159)-IF(DAY('Settings'!$B$6)&lt;DAY($E159),1,0))))))</f>
        <v/>
      </c>
      <c r="X159" s="15">
        <f>IF($L159="","",$L159-N($O159))</f>
        <v/>
      </c>
      <c r="Y159" s="15">
        <f>IF($W159="","",MAX(0,$W159-N($O159)))</f>
        <v/>
      </c>
      <c r="Z159" s="9">
        <f>IF(OR($A159="",$L159=""),"",IF($X159&lt;=0,"Paid in full",IF($Y159&lt;1,"On track",IF($Y159&lt;=$V159,"1 instalment behind","Behind"))))</f>
        <v/>
      </c>
      <c r="AA159" s="18">
        <f>IF($U159="Overdue",COUNTIF($U$3:$U159,"Overdue"),"")</f>
        <v/>
      </c>
    </row>
    <row r="160">
      <c r="A160" s="4" t="n"/>
      <c r="B160" s="4" t="n"/>
      <c r="C160" s="4" t="n"/>
      <c r="D160" s="4" t="n"/>
      <c r="E160" s="5" t="n"/>
      <c r="F160" s="6" t="n"/>
      <c r="G160" s="6" t="n"/>
      <c r="H160" s="5" t="n"/>
      <c r="I160" s="5" t="n"/>
      <c r="J160" s="6" t="n"/>
      <c r="K160" s="6" t="n"/>
      <c r="L160" s="14" t="n"/>
      <c r="M160" s="14" t="n"/>
      <c r="N160" s="6" t="n"/>
      <c r="O160" s="14" t="n"/>
      <c r="P160" s="4" t="n"/>
      <c r="Q160" s="15">
        <f>IF($E160="","",ROUND(('Settings'!$B$6-$E160)/30.4375,1))</f>
        <v/>
      </c>
      <c r="R160" s="16">
        <f>IF(OR($E160="",N($F160)=0),"",$Q160/$F160)</f>
        <v/>
      </c>
      <c r="S160" s="16">
        <f>IF(N($K160)=0,"",N($J160)/$K160)</f>
        <v/>
      </c>
      <c r="T160" s="17">
        <f>IF(OR($H160="",$G160=""),"",$H160+$G160*7)</f>
        <v/>
      </c>
      <c r="U160" s="9">
        <f>IF(OR($A160="",NOT(OR($P160="Active",$P160="Retention"))),"",IF(AND($I160&lt;&gt;"",$I160&gt;='Settings'!$B$6),"Booked",IF($T160="","",IF('Settings'!$B$6&gt;$T160+'Settings'!$B$7,"Overdue",IF($T160&lt;='Settings'!$B$6+7,"Due this week","On schedule")))))</f>
        <v/>
      </c>
      <c r="V160" s="15">
        <f>IF(OR($L160="",N($N160)=0),"",($L160-N($M160))/$N160)</f>
        <v/>
      </c>
      <c r="W160" s="15">
        <f>IF(OR($L160="",$E160=""),"",MIN($L160,N($M160)+N($V160)*MIN(N($N160),MAX(0,((YEAR('Settings'!$B$6)-YEAR($E160))*12+MONTH('Settings'!$B$6)-MONTH($E160)-IF(DAY('Settings'!$B$6)&lt;DAY($E160),1,0))))))</f>
        <v/>
      </c>
      <c r="X160" s="15">
        <f>IF($L160="","",$L160-N($O160))</f>
        <v/>
      </c>
      <c r="Y160" s="15">
        <f>IF($W160="","",MAX(0,$W160-N($O160)))</f>
        <v/>
      </c>
      <c r="Z160" s="9">
        <f>IF(OR($A160="",$L160=""),"",IF($X160&lt;=0,"Paid in full",IF($Y160&lt;1,"On track",IF($Y160&lt;=$V160,"1 instalment behind","Behind"))))</f>
        <v/>
      </c>
      <c r="AA160" s="18">
        <f>IF($U160="Overdue",COUNTIF($U$3:$U160,"Overdue"),"")</f>
        <v/>
      </c>
    </row>
    <row r="161">
      <c r="A161" s="4" t="n"/>
      <c r="B161" s="4" t="n"/>
      <c r="C161" s="4" t="n"/>
      <c r="D161" s="4" t="n"/>
      <c r="E161" s="5" t="n"/>
      <c r="F161" s="6" t="n"/>
      <c r="G161" s="6" t="n"/>
      <c r="H161" s="5" t="n"/>
      <c r="I161" s="5" t="n"/>
      <c r="J161" s="6" t="n"/>
      <c r="K161" s="6" t="n"/>
      <c r="L161" s="14" t="n"/>
      <c r="M161" s="14" t="n"/>
      <c r="N161" s="6" t="n"/>
      <c r="O161" s="14" t="n"/>
      <c r="P161" s="4" t="n"/>
      <c r="Q161" s="15">
        <f>IF($E161="","",ROUND(('Settings'!$B$6-$E161)/30.4375,1))</f>
        <v/>
      </c>
      <c r="R161" s="16">
        <f>IF(OR($E161="",N($F161)=0),"",$Q161/$F161)</f>
        <v/>
      </c>
      <c r="S161" s="16">
        <f>IF(N($K161)=0,"",N($J161)/$K161)</f>
        <v/>
      </c>
      <c r="T161" s="17">
        <f>IF(OR($H161="",$G161=""),"",$H161+$G161*7)</f>
        <v/>
      </c>
      <c r="U161" s="9">
        <f>IF(OR($A161="",NOT(OR($P161="Active",$P161="Retention"))),"",IF(AND($I161&lt;&gt;"",$I161&gt;='Settings'!$B$6),"Booked",IF($T161="","",IF('Settings'!$B$6&gt;$T161+'Settings'!$B$7,"Overdue",IF($T161&lt;='Settings'!$B$6+7,"Due this week","On schedule")))))</f>
        <v/>
      </c>
      <c r="V161" s="15">
        <f>IF(OR($L161="",N($N161)=0),"",($L161-N($M161))/$N161)</f>
        <v/>
      </c>
      <c r="W161" s="15">
        <f>IF(OR($L161="",$E161=""),"",MIN($L161,N($M161)+N($V161)*MIN(N($N161),MAX(0,((YEAR('Settings'!$B$6)-YEAR($E161))*12+MONTH('Settings'!$B$6)-MONTH($E161)-IF(DAY('Settings'!$B$6)&lt;DAY($E161),1,0))))))</f>
        <v/>
      </c>
      <c r="X161" s="15">
        <f>IF($L161="","",$L161-N($O161))</f>
        <v/>
      </c>
      <c r="Y161" s="15">
        <f>IF($W161="","",MAX(0,$W161-N($O161)))</f>
        <v/>
      </c>
      <c r="Z161" s="9">
        <f>IF(OR($A161="",$L161=""),"",IF($X161&lt;=0,"Paid in full",IF($Y161&lt;1,"On track",IF($Y161&lt;=$V161,"1 instalment behind","Behind"))))</f>
        <v/>
      </c>
      <c r="AA161" s="18">
        <f>IF($U161="Overdue",COUNTIF($U$3:$U161,"Overdue"),"")</f>
        <v/>
      </c>
    </row>
    <row r="162">
      <c r="A162" s="4" t="n"/>
      <c r="B162" s="4" t="n"/>
      <c r="C162" s="4" t="n"/>
      <c r="D162" s="4" t="n"/>
      <c r="E162" s="5" t="n"/>
      <c r="F162" s="6" t="n"/>
      <c r="G162" s="6" t="n"/>
      <c r="H162" s="5" t="n"/>
      <c r="I162" s="5" t="n"/>
      <c r="J162" s="6" t="n"/>
      <c r="K162" s="6" t="n"/>
      <c r="L162" s="14" t="n"/>
      <c r="M162" s="14" t="n"/>
      <c r="N162" s="6" t="n"/>
      <c r="O162" s="14" t="n"/>
      <c r="P162" s="4" t="n"/>
      <c r="Q162" s="15">
        <f>IF($E162="","",ROUND(('Settings'!$B$6-$E162)/30.4375,1))</f>
        <v/>
      </c>
      <c r="R162" s="16">
        <f>IF(OR($E162="",N($F162)=0),"",$Q162/$F162)</f>
        <v/>
      </c>
      <c r="S162" s="16">
        <f>IF(N($K162)=0,"",N($J162)/$K162)</f>
        <v/>
      </c>
      <c r="T162" s="17">
        <f>IF(OR($H162="",$G162=""),"",$H162+$G162*7)</f>
        <v/>
      </c>
      <c r="U162" s="9">
        <f>IF(OR($A162="",NOT(OR($P162="Active",$P162="Retention"))),"",IF(AND($I162&lt;&gt;"",$I162&gt;='Settings'!$B$6),"Booked",IF($T162="","",IF('Settings'!$B$6&gt;$T162+'Settings'!$B$7,"Overdue",IF($T162&lt;='Settings'!$B$6+7,"Due this week","On schedule")))))</f>
        <v/>
      </c>
      <c r="V162" s="15">
        <f>IF(OR($L162="",N($N162)=0),"",($L162-N($M162))/$N162)</f>
        <v/>
      </c>
      <c r="W162" s="15">
        <f>IF(OR($L162="",$E162=""),"",MIN($L162,N($M162)+N($V162)*MIN(N($N162),MAX(0,((YEAR('Settings'!$B$6)-YEAR($E162))*12+MONTH('Settings'!$B$6)-MONTH($E162)-IF(DAY('Settings'!$B$6)&lt;DAY($E162),1,0))))))</f>
        <v/>
      </c>
      <c r="X162" s="15">
        <f>IF($L162="","",$L162-N($O162))</f>
        <v/>
      </c>
      <c r="Y162" s="15">
        <f>IF($W162="","",MAX(0,$W162-N($O162)))</f>
        <v/>
      </c>
      <c r="Z162" s="9">
        <f>IF(OR($A162="",$L162=""),"",IF($X162&lt;=0,"Paid in full",IF($Y162&lt;1,"On track",IF($Y162&lt;=$V162,"1 instalment behind","Behind"))))</f>
        <v/>
      </c>
      <c r="AA162" s="18">
        <f>IF($U162="Overdue",COUNTIF($U$3:$U162,"Overdue"),"")</f>
        <v/>
      </c>
    </row>
    <row r="163">
      <c r="A163" s="4" t="n"/>
      <c r="B163" s="4" t="n"/>
      <c r="C163" s="4" t="n"/>
      <c r="D163" s="4" t="n"/>
      <c r="E163" s="5" t="n"/>
      <c r="F163" s="6" t="n"/>
      <c r="G163" s="6" t="n"/>
      <c r="H163" s="5" t="n"/>
      <c r="I163" s="5" t="n"/>
      <c r="J163" s="6" t="n"/>
      <c r="K163" s="6" t="n"/>
      <c r="L163" s="14" t="n"/>
      <c r="M163" s="14" t="n"/>
      <c r="N163" s="6" t="n"/>
      <c r="O163" s="14" t="n"/>
      <c r="P163" s="4" t="n"/>
      <c r="Q163" s="15">
        <f>IF($E163="","",ROUND(('Settings'!$B$6-$E163)/30.4375,1))</f>
        <v/>
      </c>
      <c r="R163" s="16">
        <f>IF(OR($E163="",N($F163)=0),"",$Q163/$F163)</f>
        <v/>
      </c>
      <c r="S163" s="16">
        <f>IF(N($K163)=0,"",N($J163)/$K163)</f>
        <v/>
      </c>
      <c r="T163" s="17">
        <f>IF(OR($H163="",$G163=""),"",$H163+$G163*7)</f>
        <v/>
      </c>
      <c r="U163" s="9">
        <f>IF(OR($A163="",NOT(OR($P163="Active",$P163="Retention"))),"",IF(AND($I163&lt;&gt;"",$I163&gt;='Settings'!$B$6),"Booked",IF($T163="","",IF('Settings'!$B$6&gt;$T163+'Settings'!$B$7,"Overdue",IF($T163&lt;='Settings'!$B$6+7,"Due this week","On schedule")))))</f>
        <v/>
      </c>
      <c r="V163" s="15">
        <f>IF(OR($L163="",N($N163)=0),"",($L163-N($M163))/$N163)</f>
        <v/>
      </c>
      <c r="W163" s="15">
        <f>IF(OR($L163="",$E163=""),"",MIN($L163,N($M163)+N($V163)*MIN(N($N163),MAX(0,((YEAR('Settings'!$B$6)-YEAR($E163))*12+MONTH('Settings'!$B$6)-MONTH($E163)-IF(DAY('Settings'!$B$6)&lt;DAY($E163),1,0))))))</f>
        <v/>
      </c>
      <c r="X163" s="15">
        <f>IF($L163="","",$L163-N($O163))</f>
        <v/>
      </c>
      <c r="Y163" s="15">
        <f>IF($W163="","",MAX(0,$W163-N($O163)))</f>
        <v/>
      </c>
      <c r="Z163" s="9">
        <f>IF(OR($A163="",$L163=""),"",IF($X163&lt;=0,"Paid in full",IF($Y163&lt;1,"On track",IF($Y163&lt;=$V163,"1 instalment behind","Behind"))))</f>
        <v/>
      </c>
      <c r="AA163" s="18">
        <f>IF($U163="Overdue",COUNTIF($U$3:$U163,"Overdue"),"")</f>
        <v/>
      </c>
    </row>
    <row r="164">
      <c r="A164" s="4" t="n"/>
      <c r="B164" s="4" t="n"/>
      <c r="C164" s="4" t="n"/>
      <c r="D164" s="4" t="n"/>
      <c r="E164" s="5" t="n"/>
      <c r="F164" s="6" t="n"/>
      <c r="G164" s="6" t="n"/>
      <c r="H164" s="5" t="n"/>
      <c r="I164" s="5" t="n"/>
      <c r="J164" s="6" t="n"/>
      <c r="K164" s="6" t="n"/>
      <c r="L164" s="14" t="n"/>
      <c r="M164" s="14" t="n"/>
      <c r="N164" s="6" t="n"/>
      <c r="O164" s="14" t="n"/>
      <c r="P164" s="4" t="n"/>
      <c r="Q164" s="15">
        <f>IF($E164="","",ROUND(('Settings'!$B$6-$E164)/30.4375,1))</f>
        <v/>
      </c>
      <c r="R164" s="16">
        <f>IF(OR($E164="",N($F164)=0),"",$Q164/$F164)</f>
        <v/>
      </c>
      <c r="S164" s="16">
        <f>IF(N($K164)=0,"",N($J164)/$K164)</f>
        <v/>
      </c>
      <c r="T164" s="17">
        <f>IF(OR($H164="",$G164=""),"",$H164+$G164*7)</f>
        <v/>
      </c>
      <c r="U164" s="9">
        <f>IF(OR($A164="",NOT(OR($P164="Active",$P164="Retention"))),"",IF(AND($I164&lt;&gt;"",$I164&gt;='Settings'!$B$6),"Booked",IF($T164="","",IF('Settings'!$B$6&gt;$T164+'Settings'!$B$7,"Overdue",IF($T164&lt;='Settings'!$B$6+7,"Due this week","On schedule")))))</f>
        <v/>
      </c>
      <c r="V164" s="15">
        <f>IF(OR($L164="",N($N164)=0),"",($L164-N($M164))/$N164)</f>
        <v/>
      </c>
      <c r="W164" s="15">
        <f>IF(OR($L164="",$E164=""),"",MIN($L164,N($M164)+N($V164)*MIN(N($N164),MAX(0,((YEAR('Settings'!$B$6)-YEAR($E164))*12+MONTH('Settings'!$B$6)-MONTH($E164)-IF(DAY('Settings'!$B$6)&lt;DAY($E164),1,0))))))</f>
        <v/>
      </c>
      <c r="X164" s="15">
        <f>IF($L164="","",$L164-N($O164))</f>
        <v/>
      </c>
      <c r="Y164" s="15">
        <f>IF($W164="","",MAX(0,$W164-N($O164)))</f>
        <v/>
      </c>
      <c r="Z164" s="9">
        <f>IF(OR($A164="",$L164=""),"",IF($X164&lt;=0,"Paid in full",IF($Y164&lt;1,"On track",IF($Y164&lt;=$V164,"1 instalment behind","Behind"))))</f>
        <v/>
      </c>
      <c r="AA164" s="18">
        <f>IF($U164="Overdue",COUNTIF($U$3:$U164,"Overdue"),"")</f>
        <v/>
      </c>
    </row>
    <row r="165">
      <c r="A165" s="4" t="n"/>
      <c r="B165" s="4" t="n"/>
      <c r="C165" s="4" t="n"/>
      <c r="D165" s="4" t="n"/>
      <c r="E165" s="5" t="n"/>
      <c r="F165" s="6" t="n"/>
      <c r="G165" s="6" t="n"/>
      <c r="H165" s="5" t="n"/>
      <c r="I165" s="5" t="n"/>
      <c r="J165" s="6" t="n"/>
      <c r="K165" s="6" t="n"/>
      <c r="L165" s="14" t="n"/>
      <c r="M165" s="14" t="n"/>
      <c r="N165" s="6" t="n"/>
      <c r="O165" s="14" t="n"/>
      <c r="P165" s="4" t="n"/>
      <c r="Q165" s="15">
        <f>IF($E165="","",ROUND(('Settings'!$B$6-$E165)/30.4375,1))</f>
        <v/>
      </c>
      <c r="R165" s="16">
        <f>IF(OR($E165="",N($F165)=0),"",$Q165/$F165)</f>
        <v/>
      </c>
      <c r="S165" s="16">
        <f>IF(N($K165)=0,"",N($J165)/$K165)</f>
        <v/>
      </c>
      <c r="T165" s="17">
        <f>IF(OR($H165="",$G165=""),"",$H165+$G165*7)</f>
        <v/>
      </c>
      <c r="U165" s="9">
        <f>IF(OR($A165="",NOT(OR($P165="Active",$P165="Retention"))),"",IF(AND($I165&lt;&gt;"",$I165&gt;='Settings'!$B$6),"Booked",IF($T165="","",IF('Settings'!$B$6&gt;$T165+'Settings'!$B$7,"Overdue",IF($T165&lt;='Settings'!$B$6+7,"Due this week","On schedule")))))</f>
        <v/>
      </c>
      <c r="V165" s="15">
        <f>IF(OR($L165="",N($N165)=0),"",($L165-N($M165))/$N165)</f>
        <v/>
      </c>
      <c r="W165" s="15">
        <f>IF(OR($L165="",$E165=""),"",MIN($L165,N($M165)+N($V165)*MIN(N($N165),MAX(0,((YEAR('Settings'!$B$6)-YEAR($E165))*12+MONTH('Settings'!$B$6)-MONTH($E165)-IF(DAY('Settings'!$B$6)&lt;DAY($E165),1,0))))))</f>
        <v/>
      </c>
      <c r="X165" s="15">
        <f>IF($L165="","",$L165-N($O165))</f>
        <v/>
      </c>
      <c r="Y165" s="15">
        <f>IF($W165="","",MAX(0,$W165-N($O165)))</f>
        <v/>
      </c>
      <c r="Z165" s="9">
        <f>IF(OR($A165="",$L165=""),"",IF($X165&lt;=0,"Paid in full",IF($Y165&lt;1,"On track",IF($Y165&lt;=$V165,"1 instalment behind","Behind"))))</f>
        <v/>
      </c>
      <c r="AA165" s="18">
        <f>IF($U165="Overdue",COUNTIF($U$3:$U165,"Overdue"),"")</f>
        <v/>
      </c>
    </row>
    <row r="166">
      <c r="A166" s="4" t="n"/>
      <c r="B166" s="4" t="n"/>
      <c r="C166" s="4" t="n"/>
      <c r="D166" s="4" t="n"/>
      <c r="E166" s="5" t="n"/>
      <c r="F166" s="6" t="n"/>
      <c r="G166" s="6" t="n"/>
      <c r="H166" s="5" t="n"/>
      <c r="I166" s="5" t="n"/>
      <c r="J166" s="6" t="n"/>
      <c r="K166" s="6" t="n"/>
      <c r="L166" s="14" t="n"/>
      <c r="M166" s="14" t="n"/>
      <c r="N166" s="6" t="n"/>
      <c r="O166" s="14" t="n"/>
      <c r="P166" s="4" t="n"/>
      <c r="Q166" s="15">
        <f>IF($E166="","",ROUND(('Settings'!$B$6-$E166)/30.4375,1))</f>
        <v/>
      </c>
      <c r="R166" s="16">
        <f>IF(OR($E166="",N($F166)=0),"",$Q166/$F166)</f>
        <v/>
      </c>
      <c r="S166" s="16">
        <f>IF(N($K166)=0,"",N($J166)/$K166)</f>
        <v/>
      </c>
      <c r="T166" s="17">
        <f>IF(OR($H166="",$G166=""),"",$H166+$G166*7)</f>
        <v/>
      </c>
      <c r="U166" s="9">
        <f>IF(OR($A166="",NOT(OR($P166="Active",$P166="Retention"))),"",IF(AND($I166&lt;&gt;"",$I166&gt;='Settings'!$B$6),"Booked",IF($T166="","",IF('Settings'!$B$6&gt;$T166+'Settings'!$B$7,"Overdue",IF($T166&lt;='Settings'!$B$6+7,"Due this week","On schedule")))))</f>
        <v/>
      </c>
      <c r="V166" s="15">
        <f>IF(OR($L166="",N($N166)=0),"",($L166-N($M166))/$N166)</f>
        <v/>
      </c>
      <c r="W166" s="15">
        <f>IF(OR($L166="",$E166=""),"",MIN($L166,N($M166)+N($V166)*MIN(N($N166),MAX(0,((YEAR('Settings'!$B$6)-YEAR($E166))*12+MONTH('Settings'!$B$6)-MONTH($E166)-IF(DAY('Settings'!$B$6)&lt;DAY($E166),1,0))))))</f>
        <v/>
      </c>
      <c r="X166" s="15">
        <f>IF($L166="","",$L166-N($O166))</f>
        <v/>
      </c>
      <c r="Y166" s="15">
        <f>IF($W166="","",MAX(0,$W166-N($O166)))</f>
        <v/>
      </c>
      <c r="Z166" s="9">
        <f>IF(OR($A166="",$L166=""),"",IF($X166&lt;=0,"Paid in full",IF($Y166&lt;1,"On track",IF($Y166&lt;=$V166,"1 instalment behind","Behind"))))</f>
        <v/>
      </c>
      <c r="AA166" s="18">
        <f>IF($U166="Overdue",COUNTIF($U$3:$U166,"Overdue"),"")</f>
        <v/>
      </c>
    </row>
    <row r="167">
      <c r="A167" s="4" t="n"/>
      <c r="B167" s="4" t="n"/>
      <c r="C167" s="4" t="n"/>
      <c r="D167" s="4" t="n"/>
      <c r="E167" s="5" t="n"/>
      <c r="F167" s="6" t="n"/>
      <c r="G167" s="6" t="n"/>
      <c r="H167" s="5" t="n"/>
      <c r="I167" s="5" t="n"/>
      <c r="J167" s="6" t="n"/>
      <c r="K167" s="6" t="n"/>
      <c r="L167" s="14" t="n"/>
      <c r="M167" s="14" t="n"/>
      <c r="N167" s="6" t="n"/>
      <c r="O167" s="14" t="n"/>
      <c r="P167" s="4" t="n"/>
      <c r="Q167" s="15">
        <f>IF($E167="","",ROUND(('Settings'!$B$6-$E167)/30.4375,1))</f>
        <v/>
      </c>
      <c r="R167" s="16">
        <f>IF(OR($E167="",N($F167)=0),"",$Q167/$F167)</f>
        <v/>
      </c>
      <c r="S167" s="16">
        <f>IF(N($K167)=0,"",N($J167)/$K167)</f>
        <v/>
      </c>
      <c r="T167" s="17">
        <f>IF(OR($H167="",$G167=""),"",$H167+$G167*7)</f>
        <v/>
      </c>
      <c r="U167" s="9">
        <f>IF(OR($A167="",NOT(OR($P167="Active",$P167="Retention"))),"",IF(AND($I167&lt;&gt;"",$I167&gt;='Settings'!$B$6),"Booked",IF($T167="","",IF('Settings'!$B$6&gt;$T167+'Settings'!$B$7,"Overdue",IF($T167&lt;='Settings'!$B$6+7,"Due this week","On schedule")))))</f>
        <v/>
      </c>
      <c r="V167" s="15">
        <f>IF(OR($L167="",N($N167)=0),"",($L167-N($M167))/$N167)</f>
        <v/>
      </c>
      <c r="W167" s="15">
        <f>IF(OR($L167="",$E167=""),"",MIN($L167,N($M167)+N($V167)*MIN(N($N167),MAX(0,((YEAR('Settings'!$B$6)-YEAR($E167))*12+MONTH('Settings'!$B$6)-MONTH($E167)-IF(DAY('Settings'!$B$6)&lt;DAY($E167),1,0))))))</f>
        <v/>
      </c>
      <c r="X167" s="15">
        <f>IF($L167="","",$L167-N($O167))</f>
        <v/>
      </c>
      <c r="Y167" s="15">
        <f>IF($W167="","",MAX(0,$W167-N($O167)))</f>
        <v/>
      </c>
      <c r="Z167" s="9">
        <f>IF(OR($A167="",$L167=""),"",IF($X167&lt;=0,"Paid in full",IF($Y167&lt;1,"On track",IF($Y167&lt;=$V167,"1 instalment behind","Behind"))))</f>
        <v/>
      </c>
      <c r="AA167" s="18">
        <f>IF($U167="Overdue",COUNTIF($U$3:$U167,"Overdue"),"")</f>
        <v/>
      </c>
    </row>
    <row r="168">
      <c r="A168" s="4" t="n"/>
      <c r="B168" s="4" t="n"/>
      <c r="C168" s="4" t="n"/>
      <c r="D168" s="4" t="n"/>
      <c r="E168" s="5" t="n"/>
      <c r="F168" s="6" t="n"/>
      <c r="G168" s="6" t="n"/>
      <c r="H168" s="5" t="n"/>
      <c r="I168" s="5" t="n"/>
      <c r="J168" s="6" t="n"/>
      <c r="K168" s="6" t="n"/>
      <c r="L168" s="14" t="n"/>
      <c r="M168" s="14" t="n"/>
      <c r="N168" s="6" t="n"/>
      <c r="O168" s="14" t="n"/>
      <c r="P168" s="4" t="n"/>
      <c r="Q168" s="15">
        <f>IF($E168="","",ROUND(('Settings'!$B$6-$E168)/30.4375,1))</f>
        <v/>
      </c>
      <c r="R168" s="16">
        <f>IF(OR($E168="",N($F168)=0),"",$Q168/$F168)</f>
        <v/>
      </c>
      <c r="S168" s="16">
        <f>IF(N($K168)=0,"",N($J168)/$K168)</f>
        <v/>
      </c>
      <c r="T168" s="17">
        <f>IF(OR($H168="",$G168=""),"",$H168+$G168*7)</f>
        <v/>
      </c>
      <c r="U168" s="9">
        <f>IF(OR($A168="",NOT(OR($P168="Active",$P168="Retention"))),"",IF(AND($I168&lt;&gt;"",$I168&gt;='Settings'!$B$6),"Booked",IF($T168="","",IF('Settings'!$B$6&gt;$T168+'Settings'!$B$7,"Overdue",IF($T168&lt;='Settings'!$B$6+7,"Due this week","On schedule")))))</f>
        <v/>
      </c>
      <c r="V168" s="15">
        <f>IF(OR($L168="",N($N168)=0),"",($L168-N($M168))/$N168)</f>
        <v/>
      </c>
      <c r="W168" s="15">
        <f>IF(OR($L168="",$E168=""),"",MIN($L168,N($M168)+N($V168)*MIN(N($N168),MAX(0,((YEAR('Settings'!$B$6)-YEAR($E168))*12+MONTH('Settings'!$B$6)-MONTH($E168)-IF(DAY('Settings'!$B$6)&lt;DAY($E168),1,0))))))</f>
        <v/>
      </c>
      <c r="X168" s="15">
        <f>IF($L168="","",$L168-N($O168))</f>
        <v/>
      </c>
      <c r="Y168" s="15">
        <f>IF($W168="","",MAX(0,$W168-N($O168)))</f>
        <v/>
      </c>
      <c r="Z168" s="9">
        <f>IF(OR($A168="",$L168=""),"",IF($X168&lt;=0,"Paid in full",IF($Y168&lt;1,"On track",IF($Y168&lt;=$V168,"1 instalment behind","Behind"))))</f>
        <v/>
      </c>
      <c r="AA168" s="18">
        <f>IF($U168="Overdue",COUNTIF($U$3:$U168,"Overdue"),"")</f>
        <v/>
      </c>
    </row>
    <row r="169">
      <c r="A169" s="4" t="n"/>
      <c r="B169" s="4" t="n"/>
      <c r="C169" s="4" t="n"/>
      <c r="D169" s="4" t="n"/>
      <c r="E169" s="5" t="n"/>
      <c r="F169" s="6" t="n"/>
      <c r="G169" s="6" t="n"/>
      <c r="H169" s="5" t="n"/>
      <c r="I169" s="5" t="n"/>
      <c r="J169" s="6" t="n"/>
      <c r="K169" s="6" t="n"/>
      <c r="L169" s="14" t="n"/>
      <c r="M169" s="14" t="n"/>
      <c r="N169" s="6" t="n"/>
      <c r="O169" s="14" t="n"/>
      <c r="P169" s="4" t="n"/>
      <c r="Q169" s="15">
        <f>IF($E169="","",ROUND(('Settings'!$B$6-$E169)/30.4375,1))</f>
        <v/>
      </c>
      <c r="R169" s="16">
        <f>IF(OR($E169="",N($F169)=0),"",$Q169/$F169)</f>
        <v/>
      </c>
      <c r="S169" s="16">
        <f>IF(N($K169)=0,"",N($J169)/$K169)</f>
        <v/>
      </c>
      <c r="T169" s="17">
        <f>IF(OR($H169="",$G169=""),"",$H169+$G169*7)</f>
        <v/>
      </c>
      <c r="U169" s="9">
        <f>IF(OR($A169="",NOT(OR($P169="Active",$P169="Retention"))),"",IF(AND($I169&lt;&gt;"",$I169&gt;='Settings'!$B$6),"Booked",IF($T169="","",IF('Settings'!$B$6&gt;$T169+'Settings'!$B$7,"Overdue",IF($T169&lt;='Settings'!$B$6+7,"Due this week","On schedule")))))</f>
        <v/>
      </c>
      <c r="V169" s="15">
        <f>IF(OR($L169="",N($N169)=0),"",($L169-N($M169))/$N169)</f>
        <v/>
      </c>
      <c r="W169" s="15">
        <f>IF(OR($L169="",$E169=""),"",MIN($L169,N($M169)+N($V169)*MIN(N($N169),MAX(0,((YEAR('Settings'!$B$6)-YEAR($E169))*12+MONTH('Settings'!$B$6)-MONTH($E169)-IF(DAY('Settings'!$B$6)&lt;DAY($E169),1,0))))))</f>
        <v/>
      </c>
      <c r="X169" s="15">
        <f>IF($L169="","",$L169-N($O169))</f>
        <v/>
      </c>
      <c r="Y169" s="15">
        <f>IF($W169="","",MAX(0,$W169-N($O169)))</f>
        <v/>
      </c>
      <c r="Z169" s="9">
        <f>IF(OR($A169="",$L169=""),"",IF($X169&lt;=0,"Paid in full",IF($Y169&lt;1,"On track",IF($Y169&lt;=$V169,"1 instalment behind","Behind"))))</f>
        <v/>
      </c>
      <c r="AA169" s="18">
        <f>IF($U169="Overdue",COUNTIF($U$3:$U169,"Overdue"),"")</f>
        <v/>
      </c>
    </row>
    <row r="170">
      <c r="A170" s="4" t="n"/>
      <c r="B170" s="4" t="n"/>
      <c r="C170" s="4" t="n"/>
      <c r="D170" s="4" t="n"/>
      <c r="E170" s="5" t="n"/>
      <c r="F170" s="6" t="n"/>
      <c r="G170" s="6" t="n"/>
      <c r="H170" s="5" t="n"/>
      <c r="I170" s="5" t="n"/>
      <c r="J170" s="6" t="n"/>
      <c r="K170" s="6" t="n"/>
      <c r="L170" s="14" t="n"/>
      <c r="M170" s="14" t="n"/>
      <c r="N170" s="6" t="n"/>
      <c r="O170" s="14" t="n"/>
      <c r="P170" s="4" t="n"/>
      <c r="Q170" s="15">
        <f>IF($E170="","",ROUND(('Settings'!$B$6-$E170)/30.4375,1))</f>
        <v/>
      </c>
      <c r="R170" s="16">
        <f>IF(OR($E170="",N($F170)=0),"",$Q170/$F170)</f>
        <v/>
      </c>
      <c r="S170" s="16">
        <f>IF(N($K170)=0,"",N($J170)/$K170)</f>
        <v/>
      </c>
      <c r="T170" s="17">
        <f>IF(OR($H170="",$G170=""),"",$H170+$G170*7)</f>
        <v/>
      </c>
      <c r="U170" s="9">
        <f>IF(OR($A170="",NOT(OR($P170="Active",$P170="Retention"))),"",IF(AND($I170&lt;&gt;"",$I170&gt;='Settings'!$B$6),"Booked",IF($T170="","",IF('Settings'!$B$6&gt;$T170+'Settings'!$B$7,"Overdue",IF($T170&lt;='Settings'!$B$6+7,"Due this week","On schedule")))))</f>
        <v/>
      </c>
      <c r="V170" s="15">
        <f>IF(OR($L170="",N($N170)=0),"",($L170-N($M170))/$N170)</f>
        <v/>
      </c>
      <c r="W170" s="15">
        <f>IF(OR($L170="",$E170=""),"",MIN($L170,N($M170)+N($V170)*MIN(N($N170),MAX(0,((YEAR('Settings'!$B$6)-YEAR($E170))*12+MONTH('Settings'!$B$6)-MONTH($E170)-IF(DAY('Settings'!$B$6)&lt;DAY($E170),1,0))))))</f>
        <v/>
      </c>
      <c r="X170" s="15">
        <f>IF($L170="","",$L170-N($O170))</f>
        <v/>
      </c>
      <c r="Y170" s="15">
        <f>IF($W170="","",MAX(0,$W170-N($O170)))</f>
        <v/>
      </c>
      <c r="Z170" s="9">
        <f>IF(OR($A170="",$L170=""),"",IF($X170&lt;=0,"Paid in full",IF($Y170&lt;1,"On track",IF($Y170&lt;=$V170,"1 instalment behind","Behind"))))</f>
        <v/>
      </c>
      <c r="AA170" s="18">
        <f>IF($U170="Overdue",COUNTIF($U$3:$U170,"Overdue"),"")</f>
        <v/>
      </c>
    </row>
    <row r="171">
      <c r="A171" s="4" t="n"/>
      <c r="B171" s="4" t="n"/>
      <c r="C171" s="4" t="n"/>
      <c r="D171" s="4" t="n"/>
      <c r="E171" s="5" t="n"/>
      <c r="F171" s="6" t="n"/>
      <c r="G171" s="6" t="n"/>
      <c r="H171" s="5" t="n"/>
      <c r="I171" s="5" t="n"/>
      <c r="J171" s="6" t="n"/>
      <c r="K171" s="6" t="n"/>
      <c r="L171" s="14" t="n"/>
      <c r="M171" s="14" t="n"/>
      <c r="N171" s="6" t="n"/>
      <c r="O171" s="14" t="n"/>
      <c r="P171" s="4" t="n"/>
      <c r="Q171" s="15">
        <f>IF($E171="","",ROUND(('Settings'!$B$6-$E171)/30.4375,1))</f>
        <v/>
      </c>
      <c r="R171" s="16">
        <f>IF(OR($E171="",N($F171)=0),"",$Q171/$F171)</f>
        <v/>
      </c>
      <c r="S171" s="16">
        <f>IF(N($K171)=0,"",N($J171)/$K171)</f>
        <v/>
      </c>
      <c r="T171" s="17">
        <f>IF(OR($H171="",$G171=""),"",$H171+$G171*7)</f>
        <v/>
      </c>
      <c r="U171" s="9">
        <f>IF(OR($A171="",NOT(OR($P171="Active",$P171="Retention"))),"",IF(AND($I171&lt;&gt;"",$I171&gt;='Settings'!$B$6),"Booked",IF($T171="","",IF('Settings'!$B$6&gt;$T171+'Settings'!$B$7,"Overdue",IF($T171&lt;='Settings'!$B$6+7,"Due this week","On schedule")))))</f>
        <v/>
      </c>
      <c r="V171" s="15">
        <f>IF(OR($L171="",N($N171)=0),"",($L171-N($M171))/$N171)</f>
        <v/>
      </c>
      <c r="W171" s="15">
        <f>IF(OR($L171="",$E171=""),"",MIN($L171,N($M171)+N($V171)*MIN(N($N171),MAX(0,((YEAR('Settings'!$B$6)-YEAR($E171))*12+MONTH('Settings'!$B$6)-MONTH($E171)-IF(DAY('Settings'!$B$6)&lt;DAY($E171),1,0))))))</f>
        <v/>
      </c>
      <c r="X171" s="15">
        <f>IF($L171="","",$L171-N($O171))</f>
        <v/>
      </c>
      <c r="Y171" s="15">
        <f>IF($W171="","",MAX(0,$W171-N($O171)))</f>
        <v/>
      </c>
      <c r="Z171" s="9">
        <f>IF(OR($A171="",$L171=""),"",IF($X171&lt;=0,"Paid in full",IF($Y171&lt;1,"On track",IF($Y171&lt;=$V171,"1 instalment behind","Behind"))))</f>
        <v/>
      </c>
      <c r="AA171" s="18">
        <f>IF($U171="Overdue",COUNTIF($U$3:$U171,"Overdue"),"")</f>
        <v/>
      </c>
    </row>
    <row r="172">
      <c r="A172" s="4" t="n"/>
      <c r="B172" s="4" t="n"/>
      <c r="C172" s="4" t="n"/>
      <c r="D172" s="4" t="n"/>
      <c r="E172" s="5" t="n"/>
      <c r="F172" s="6" t="n"/>
      <c r="G172" s="6" t="n"/>
      <c r="H172" s="5" t="n"/>
      <c r="I172" s="5" t="n"/>
      <c r="J172" s="6" t="n"/>
      <c r="K172" s="6" t="n"/>
      <c r="L172" s="14" t="n"/>
      <c r="M172" s="14" t="n"/>
      <c r="N172" s="6" t="n"/>
      <c r="O172" s="14" t="n"/>
      <c r="P172" s="4" t="n"/>
      <c r="Q172" s="15">
        <f>IF($E172="","",ROUND(('Settings'!$B$6-$E172)/30.4375,1))</f>
        <v/>
      </c>
      <c r="R172" s="16">
        <f>IF(OR($E172="",N($F172)=0),"",$Q172/$F172)</f>
        <v/>
      </c>
      <c r="S172" s="16">
        <f>IF(N($K172)=0,"",N($J172)/$K172)</f>
        <v/>
      </c>
      <c r="T172" s="17">
        <f>IF(OR($H172="",$G172=""),"",$H172+$G172*7)</f>
        <v/>
      </c>
      <c r="U172" s="9">
        <f>IF(OR($A172="",NOT(OR($P172="Active",$P172="Retention"))),"",IF(AND($I172&lt;&gt;"",$I172&gt;='Settings'!$B$6),"Booked",IF($T172="","",IF('Settings'!$B$6&gt;$T172+'Settings'!$B$7,"Overdue",IF($T172&lt;='Settings'!$B$6+7,"Due this week","On schedule")))))</f>
        <v/>
      </c>
      <c r="V172" s="15">
        <f>IF(OR($L172="",N($N172)=0),"",($L172-N($M172))/$N172)</f>
        <v/>
      </c>
      <c r="W172" s="15">
        <f>IF(OR($L172="",$E172=""),"",MIN($L172,N($M172)+N($V172)*MIN(N($N172),MAX(0,((YEAR('Settings'!$B$6)-YEAR($E172))*12+MONTH('Settings'!$B$6)-MONTH($E172)-IF(DAY('Settings'!$B$6)&lt;DAY($E172),1,0))))))</f>
        <v/>
      </c>
      <c r="X172" s="15">
        <f>IF($L172="","",$L172-N($O172))</f>
        <v/>
      </c>
      <c r="Y172" s="15">
        <f>IF($W172="","",MAX(0,$W172-N($O172)))</f>
        <v/>
      </c>
      <c r="Z172" s="9">
        <f>IF(OR($A172="",$L172=""),"",IF($X172&lt;=0,"Paid in full",IF($Y172&lt;1,"On track",IF($Y172&lt;=$V172,"1 instalment behind","Behind"))))</f>
        <v/>
      </c>
      <c r="AA172" s="18">
        <f>IF($U172="Overdue",COUNTIF($U$3:$U172,"Overdue"),"")</f>
        <v/>
      </c>
    </row>
    <row r="173">
      <c r="A173" s="4" t="n"/>
      <c r="B173" s="4" t="n"/>
      <c r="C173" s="4" t="n"/>
      <c r="D173" s="4" t="n"/>
      <c r="E173" s="5" t="n"/>
      <c r="F173" s="6" t="n"/>
      <c r="G173" s="6" t="n"/>
      <c r="H173" s="5" t="n"/>
      <c r="I173" s="5" t="n"/>
      <c r="J173" s="6" t="n"/>
      <c r="K173" s="6" t="n"/>
      <c r="L173" s="14" t="n"/>
      <c r="M173" s="14" t="n"/>
      <c r="N173" s="6" t="n"/>
      <c r="O173" s="14" t="n"/>
      <c r="P173" s="4" t="n"/>
      <c r="Q173" s="15">
        <f>IF($E173="","",ROUND(('Settings'!$B$6-$E173)/30.4375,1))</f>
        <v/>
      </c>
      <c r="R173" s="16">
        <f>IF(OR($E173="",N($F173)=0),"",$Q173/$F173)</f>
        <v/>
      </c>
      <c r="S173" s="16">
        <f>IF(N($K173)=0,"",N($J173)/$K173)</f>
        <v/>
      </c>
      <c r="T173" s="17">
        <f>IF(OR($H173="",$G173=""),"",$H173+$G173*7)</f>
        <v/>
      </c>
      <c r="U173" s="9">
        <f>IF(OR($A173="",NOT(OR($P173="Active",$P173="Retention"))),"",IF(AND($I173&lt;&gt;"",$I173&gt;='Settings'!$B$6),"Booked",IF($T173="","",IF('Settings'!$B$6&gt;$T173+'Settings'!$B$7,"Overdue",IF($T173&lt;='Settings'!$B$6+7,"Due this week","On schedule")))))</f>
        <v/>
      </c>
      <c r="V173" s="15">
        <f>IF(OR($L173="",N($N173)=0),"",($L173-N($M173))/$N173)</f>
        <v/>
      </c>
      <c r="W173" s="15">
        <f>IF(OR($L173="",$E173=""),"",MIN($L173,N($M173)+N($V173)*MIN(N($N173),MAX(0,((YEAR('Settings'!$B$6)-YEAR($E173))*12+MONTH('Settings'!$B$6)-MONTH($E173)-IF(DAY('Settings'!$B$6)&lt;DAY($E173),1,0))))))</f>
        <v/>
      </c>
      <c r="X173" s="15">
        <f>IF($L173="","",$L173-N($O173))</f>
        <v/>
      </c>
      <c r="Y173" s="15">
        <f>IF($W173="","",MAX(0,$W173-N($O173)))</f>
        <v/>
      </c>
      <c r="Z173" s="9">
        <f>IF(OR($A173="",$L173=""),"",IF($X173&lt;=0,"Paid in full",IF($Y173&lt;1,"On track",IF($Y173&lt;=$V173,"1 instalment behind","Behind"))))</f>
        <v/>
      </c>
      <c r="AA173" s="18">
        <f>IF($U173="Overdue",COUNTIF($U$3:$U173,"Overdue"),"")</f>
        <v/>
      </c>
    </row>
    <row r="174">
      <c r="A174" s="4" t="n"/>
      <c r="B174" s="4" t="n"/>
      <c r="C174" s="4" t="n"/>
      <c r="D174" s="4" t="n"/>
      <c r="E174" s="5" t="n"/>
      <c r="F174" s="6" t="n"/>
      <c r="G174" s="6" t="n"/>
      <c r="H174" s="5" t="n"/>
      <c r="I174" s="5" t="n"/>
      <c r="J174" s="6" t="n"/>
      <c r="K174" s="6" t="n"/>
      <c r="L174" s="14" t="n"/>
      <c r="M174" s="14" t="n"/>
      <c r="N174" s="6" t="n"/>
      <c r="O174" s="14" t="n"/>
      <c r="P174" s="4" t="n"/>
      <c r="Q174" s="15">
        <f>IF($E174="","",ROUND(('Settings'!$B$6-$E174)/30.4375,1))</f>
        <v/>
      </c>
      <c r="R174" s="16">
        <f>IF(OR($E174="",N($F174)=0),"",$Q174/$F174)</f>
        <v/>
      </c>
      <c r="S174" s="16">
        <f>IF(N($K174)=0,"",N($J174)/$K174)</f>
        <v/>
      </c>
      <c r="T174" s="17">
        <f>IF(OR($H174="",$G174=""),"",$H174+$G174*7)</f>
        <v/>
      </c>
      <c r="U174" s="9">
        <f>IF(OR($A174="",NOT(OR($P174="Active",$P174="Retention"))),"",IF(AND($I174&lt;&gt;"",$I174&gt;='Settings'!$B$6),"Booked",IF($T174="","",IF('Settings'!$B$6&gt;$T174+'Settings'!$B$7,"Overdue",IF($T174&lt;='Settings'!$B$6+7,"Due this week","On schedule")))))</f>
        <v/>
      </c>
      <c r="V174" s="15">
        <f>IF(OR($L174="",N($N174)=0),"",($L174-N($M174))/$N174)</f>
        <v/>
      </c>
      <c r="W174" s="15">
        <f>IF(OR($L174="",$E174=""),"",MIN($L174,N($M174)+N($V174)*MIN(N($N174),MAX(0,((YEAR('Settings'!$B$6)-YEAR($E174))*12+MONTH('Settings'!$B$6)-MONTH($E174)-IF(DAY('Settings'!$B$6)&lt;DAY($E174),1,0))))))</f>
        <v/>
      </c>
      <c r="X174" s="15">
        <f>IF($L174="","",$L174-N($O174))</f>
        <v/>
      </c>
      <c r="Y174" s="15">
        <f>IF($W174="","",MAX(0,$W174-N($O174)))</f>
        <v/>
      </c>
      <c r="Z174" s="9">
        <f>IF(OR($A174="",$L174=""),"",IF($X174&lt;=0,"Paid in full",IF($Y174&lt;1,"On track",IF($Y174&lt;=$V174,"1 instalment behind","Behind"))))</f>
        <v/>
      </c>
      <c r="AA174" s="18">
        <f>IF($U174="Overdue",COUNTIF($U$3:$U174,"Overdue"),"")</f>
        <v/>
      </c>
    </row>
    <row r="175">
      <c r="A175" s="4" t="n"/>
      <c r="B175" s="4" t="n"/>
      <c r="C175" s="4" t="n"/>
      <c r="D175" s="4" t="n"/>
      <c r="E175" s="5" t="n"/>
      <c r="F175" s="6" t="n"/>
      <c r="G175" s="6" t="n"/>
      <c r="H175" s="5" t="n"/>
      <c r="I175" s="5" t="n"/>
      <c r="J175" s="6" t="n"/>
      <c r="K175" s="6" t="n"/>
      <c r="L175" s="14" t="n"/>
      <c r="M175" s="14" t="n"/>
      <c r="N175" s="6" t="n"/>
      <c r="O175" s="14" t="n"/>
      <c r="P175" s="4" t="n"/>
      <c r="Q175" s="15">
        <f>IF($E175="","",ROUND(('Settings'!$B$6-$E175)/30.4375,1))</f>
        <v/>
      </c>
      <c r="R175" s="16">
        <f>IF(OR($E175="",N($F175)=0),"",$Q175/$F175)</f>
        <v/>
      </c>
      <c r="S175" s="16">
        <f>IF(N($K175)=0,"",N($J175)/$K175)</f>
        <v/>
      </c>
      <c r="T175" s="17">
        <f>IF(OR($H175="",$G175=""),"",$H175+$G175*7)</f>
        <v/>
      </c>
      <c r="U175" s="9">
        <f>IF(OR($A175="",NOT(OR($P175="Active",$P175="Retention"))),"",IF(AND($I175&lt;&gt;"",$I175&gt;='Settings'!$B$6),"Booked",IF($T175="","",IF('Settings'!$B$6&gt;$T175+'Settings'!$B$7,"Overdue",IF($T175&lt;='Settings'!$B$6+7,"Due this week","On schedule")))))</f>
        <v/>
      </c>
      <c r="V175" s="15">
        <f>IF(OR($L175="",N($N175)=0),"",($L175-N($M175))/$N175)</f>
        <v/>
      </c>
      <c r="W175" s="15">
        <f>IF(OR($L175="",$E175=""),"",MIN($L175,N($M175)+N($V175)*MIN(N($N175),MAX(0,((YEAR('Settings'!$B$6)-YEAR($E175))*12+MONTH('Settings'!$B$6)-MONTH($E175)-IF(DAY('Settings'!$B$6)&lt;DAY($E175),1,0))))))</f>
        <v/>
      </c>
      <c r="X175" s="15">
        <f>IF($L175="","",$L175-N($O175))</f>
        <v/>
      </c>
      <c r="Y175" s="15">
        <f>IF($W175="","",MAX(0,$W175-N($O175)))</f>
        <v/>
      </c>
      <c r="Z175" s="9">
        <f>IF(OR($A175="",$L175=""),"",IF($X175&lt;=0,"Paid in full",IF($Y175&lt;1,"On track",IF($Y175&lt;=$V175,"1 instalment behind","Behind"))))</f>
        <v/>
      </c>
      <c r="AA175" s="18">
        <f>IF($U175="Overdue",COUNTIF($U$3:$U175,"Overdue"),"")</f>
        <v/>
      </c>
    </row>
    <row r="176">
      <c r="A176" s="4" t="n"/>
      <c r="B176" s="4" t="n"/>
      <c r="C176" s="4" t="n"/>
      <c r="D176" s="4" t="n"/>
      <c r="E176" s="5" t="n"/>
      <c r="F176" s="6" t="n"/>
      <c r="G176" s="6" t="n"/>
      <c r="H176" s="5" t="n"/>
      <c r="I176" s="5" t="n"/>
      <c r="J176" s="6" t="n"/>
      <c r="K176" s="6" t="n"/>
      <c r="L176" s="14" t="n"/>
      <c r="M176" s="14" t="n"/>
      <c r="N176" s="6" t="n"/>
      <c r="O176" s="14" t="n"/>
      <c r="P176" s="4" t="n"/>
      <c r="Q176" s="15">
        <f>IF($E176="","",ROUND(('Settings'!$B$6-$E176)/30.4375,1))</f>
        <v/>
      </c>
      <c r="R176" s="16">
        <f>IF(OR($E176="",N($F176)=0),"",$Q176/$F176)</f>
        <v/>
      </c>
      <c r="S176" s="16">
        <f>IF(N($K176)=0,"",N($J176)/$K176)</f>
        <v/>
      </c>
      <c r="T176" s="17">
        <f>IF(OR($H176="",$G176=""),"",$H176+$G176*7)</f>
        <v/>
      </c>
      <c r="U176" s="9">
        <f>IF(OR($A176="",NOT(OR($P176="Active",$P176="Retention"))),"",IF(AND($I176&lt;&gt;"",$I176&gt;='Settings'!$B$6),"Booked",IF($T176="","",IF('Settings'!$B$6&gt;$T176+'Settings'!$B$7,"Overdue",IF($T176&lt;='Settings'!$B$6+7,"Due this week","On schedule")))))</f>
        <v/>
      </c>
      <c r="V176" s="15">
        <f>IF(OR($L176="",N($N176)=0),"",($L176-N($M176))/$N176)</f>
        <v/>
      </c>
      <c r="W176" s="15">
        <f>IF(OR($L176="",$E176=""),"",MIN($L176,N($M176)+N($V176)*MIN(N($N176),MAX(0,((YEAR('Settings'!$B$6)-YEAR($E176))*12+MONTH('Settings'!$B$6)-MONTH($E176)-IF(DAY('Settings'!$B$6)&lt;DAY($E176),1,0))))))</f>
        <v/>
      </c>
      <c r="X176" s="15">
        <f>IF($L176="","",$L176-N($O176))</f>
        <v/>
      </c>
      <c r="Y176" s="15">
        <f>IF($W176="","",MAX(0,$W176-N($O176)))</f>
        <v/>
      </c>
      <c r="Z176" s="9">
        <f>IF(OR($A176="",$L176=""),"",IF($X176&lt;=0,"Paid in full",IF($Y176&lt;1,"On track",IF($Y176&lt;=$V176,"1 instalment behind","Behind"))))</f>
        <v/>
      </c>
      <c r="AA176" s="18">
        <f>IF($U176="Overdue",COUNTIF($U$3:$U176,"Overdue"),"")</f>
        <v/>
      </c>
    </row>
    <row r="177">
      <c r="A177" s="4" t="n"/>
      <c r="B177" s="4" t="n"/>
      <c r="C177" s="4" t="n"/>
      <c r="D177" s="4" t="n"/>
      <c r="E177" s="5" t="n"/>
      <c r="F177" s="6" t="n"/>
      <c r="G177" s="6" t="n"/>
      <c r="H177" s="5" t="n"/>
      <c r="I177" s="5" t="n"/>
      <c r="J177" s="6" t="n"/>
      <c r="K177" s="6" t="n"/>
      <c r="L177" s="14" t="n"/>
      <c r="M177" s="14" t="n"/>
      <c r="N177" s="6" t="n"/>
      <c r="O177" s="14" t="n"/>
      <c r="P177" s="4" t="n"/>
      <c r="Q177" s="15">
        <f>IF($E177="","",ROUND(('Settings'!$B$6-$E177)/30.4375,1))</f>
        <v/>
      </c>
      <c r="R177" s="16">
        <f>IF(OR($E177="",N($F177)=0),"",$Q177/$F177)</f>
        <v/>
      </c>
      <c r="S177" s="16">
        <f>IF(N($K177)=0,"",N($J177)/$K177)</f>
        <v/>
      </c>
      <c r="T177" s="17">
        <f>IF(OR($H177="",$G177=""),"",$H177+$G177*7)</f>
        <v/>
      </c>
      <c r="U177" s="9">
        <f>IF(OR($A177="",NOT(OR($P177="Active",$P177="Retention"))),"",IF(AND($I177&lt;&gt;"",$I177&gt;='Settings'!$B$6),"Booked",IF($T177="","",IF('Settings'!$B$6&gt;$T177+'Settings'!$B$7,"Overdue",IF($T177&lt;='Settings'!$B$6+7,"Due this week","On schedule")))))</f>
        <v/>
      </c>
      <c r="V177" s="15">
        <f>IF(OR($L177="",N($N177)=0),"",($L177-N($M177))/$N177)</f>
        <v/>
      </c>
      <c r="W177" s="15">
        <f>IF(OR($L177="",$E177=""),"",MIN($L177,N($M177)+N($V177)*MIN(N($N177),MAX(0,((YEAR('Settings'!$B$6)-YEAR($E177))*12+MONTH('Settings'!$B$6)-MONTH($E177)-IF(DAY('Settings'!$B$6)&lt;DAY($E177),1,0))))))</f>
        <v/>
      </c>
      <c r="X177" s="15">
        <f>IF($L177="","",$L177-N($O177))</f>
        <v/>
      </c>
      <c r="Y177" s="15">
        <f>IF($W177="","",MAX(0,$W177-N($O177)))</f>
        <v/>
      </c>
      <c r="Z177" s="9">
        <f>IF(OR($A177="",$L177=""),"",IF($X177&lt;=0,"Paid in full",IF($Y177&lt;1,"On track",IF($Y177&lt;=$V177,"1 instalment behind","Behind"))))</f>
        <v/>
      </c>
      <c r="AA177" s="18">
        <f>IF($U177="Overdue",COUNTIF($U$3:$U177,"Overdue"),"")</f>
        <v/>
      </c>
    </row>
    <row r="178">
      <c r="A178" s="4" t="n"/>
      <c r="B178" s="4" t="n"/>
      <c r="C178" s="4" t="n"/>
      <c r="D178" s="4" t="n"/>
      <c r="E178" s="5" t="n"/>
      <c r="F178" s="6" t="n"/>
      <c r="G178" s="6" t="n"/>
      <c r="H178" s="5" t="n"/>
      <c r="I178" s="5" t="n"/>
      <c r="J178" s="6" t="n"/>
      <c r="K178" s="6" t="n"/>
      <c r="L178" s="14" t="n"/>
      <c r="M178" s="14" t="n"/>
      <c r="N178" s="6" t="n"/>
      <c r="O178" s="14" t="n"/>
      <c r="P178" s="4" t="n"/>
      <c r="Q178" s="15">
        <f>IF($E178="","",ROUND(('Settings'!$B$6-$E178)/30.4375,1))</f>
        <v/>
      </c>
      <c r="R178" s="16">
        <f>IF(OR($E178="",N($F178)=0),"",$Q178/$F178)</f>
        <v/>
      </c>
      <c r="S178" s="16">
        <f>IF(N($K178)=0,"",N($J178)/$K178)</f>
        <v/>
      </c>
      <c r="T178" s="17">
        <f>IF(OR($H178="",$G178=""),"",$H178+$G178*7)</f>
        <v/>
      </c>
      <c r="U178" s="9">
        <f>IF(OR($A178="",NOT(OR($P178="Active",$P178="Retention"))),"",IF(AND($I178&lt;&gt;"",$I178&gt;='Settings'!$B$6),"Booked",IF($T178="","",IF('Settings'!$B$6&gt;$T178+'Settings'!$B$7,"Overdue",IF($T178&lt;='Settings'!$B$6+7,"Due this week","On schedule")))))</f>
        <v/>
      </c>
      <c r="V178" s="15">
        <f>IF(OR($L178="",N($N178)=0),"",($L178-N($M178))/$N178)</f>
        <v/>
      </c>
      <c r="W178" s="15">
        <f>IF(OR($L178="",$E178=""),"",MIN($L178,N($M178)+N($V178)*MIN(N($N178),MAX(0,((YEAR('Settings'!$B$6)-YEAR($E178))*12+MONTH('Settings'!$B$6)-MONTH($E178)-IF(DAY('Settings'!$B$6)&lt;DAY($E178),1,0))))))</f>
        <v/>
      </c>
      <c r="X178" s="15">
        <f>IF($L178="","",$L178-N($O178))</f>
        <v/>
      </c>
      <c r="Y178" s="15">
        <f>IF($W178="","",MAX(0,$W178-N($O178)))</f>
        <v/>
      </c>
      <c r="Z178" s="9">
        <f>IF(OR($A178="",$L178=""),"",IF($X178&lt;=0,"Paid in full",IF($Y178&lt;1,"On track",IF($Y178&lt;=$V178,"1 instalment behind","Behind"))))</f>
        <v/>
      </c>
      <c r="AA178" s="18">
        <f>IF($U178="Overdue",COUNTIF($U$3:$U178,"Overdue"),"")</f>
        <v/>
      </c>
    </row>
    <row r="179">
      <c r="A179" s="4" t="n"/>
      <c r="B179" s="4" t="n"/>
      <c r="C179" s="4" t="n"/>
      <c r="D179" s="4" t="n"/>
      <c r="E179" s="5" t="n"/>
      <c r="F179" s="6" t="n"/>
      <c r="G179" s="6" t="n"/>
      <c r="H179" s="5" t="n"/>
      <c r="I179" s="5" t="n"/>
      <c r="J179" s="6" t="n"/>
      <c r="K179" s="6" t="n"/>
      <c r="L179" s="14" t="n"/>
      <c r="M179" s="14" t="n"/>
      <c r="N179" s="6" t="n"/>
      <c r="O179" s="14" t="n"/>
      <c r="P179" s="4" t="n"/>
      <c r="Q179" s="15">
        <f>IF($E179="","",ROUND(('Settings'!$B$6-$E179)/30.4375,1))</f>
        <v/>
      </c>
      <c r="R179" s="16">
        <f>IF(OR($E179="",N($F179)=0),"",$Q179/$F179)</f>
        <v/>
      </c>
      <c r="S179" s="16">
        <f>IF(N($K179)=0,"",N($J179)/$K179)</f>
        <v/>
      </c>
      <c r="T179" s="17">
        <f>IF(OR($H179="",$G179=""),"",$H179+$G179*7)</f>
        <v/>
      </c>
      <c r="U179" s="9">
        <f>IF(OR($A179="",NOT(OR($P179="Active",$P179="Retention"))),"",IF(AND($I179&lt;&gt;"",$I179&gt;='Settings'!$B$6),"Booked",IF($T179="","",IF('Settings'!$B$6&gt;$T179+'Settings'!$B$7,"Overdue",IF($T179&lt;='Settings'!$B$6+7,"Due this week","On schedule")))))</f>
        <v/>
      </c>
      <c r="V179" s="15">
        <f>IF(OR($L179="",N($N179)=0),"",($L179-N($M179))/$N179)</f>
        <v/>
      </c>
      <c r="W179" s="15">
        <f>IF(OR($L179="",$E179=""),"",MIN($L179,N($M179)+N($V179)*MIN(N($N179),MAX(0,((YEAR('Settings'!$B$6)-YEAR($E179))*12+MONTH('Settings'!$B$6)-MONTH($E179)-IF(DAY('Settings'!$B$6)&lt;DAY($E179),1,0))))))</f>
        <v/>
      </c>
      <c r="X179" s="15">
        <f>IF($L179="","",$L179-N($O179))</f>
        <v/>
      </c>
      <c r="Y179" s="15">
        <f>IF($W179="","",MAX(0,$W179-N($O179)))</f>
        <v/>
      </c>
      <c r="Z179" s="9">
        <f>IF(OR($A179="",$L179=""),"",IF($X179&lt;=0,"Paid in full",IF($Y179&lt;1,"On track",IF($Y179&lt;=$V179,"1 instalment behind","Behind"))))</f>
        <v/>
      </c>
      <c r="AA179" s="18">
        <f>IF($U179="Overdue",COUNTIF($U$3:$U179,"Overdue"),"")</f>
        <v/>
      </c>
    </row>
    <row r="180">
      <c r="A180" s="4" t="n"/>
      <c r="B180" s="4" t="n"/>
      <c r="C180" s="4" t="n"/>
      <c r="D180" s="4" t="n"/>
      <c r="E180" s="5" t="n"/>
      <c r="F180" s="6" t="n"/>
      <c r="G180" s="6" t="n"/>
      <c r="H180" s="5" t="n"/>
      <c r="I180" s="5" t="n"/>
      <c r="J180" s="6" t="n"/>
      <c r="K180" s="6" t="n"/>
      <c r="L180" s="14" t="n"/>
      <c r="M180" s="14" t="n"/>
      <c r="N180" s="6" t="n"/>
      <c r="O180" s="14" t="n"/>
      <c r="P180" s="4" t="n"/>
      <c r="Q180" s="15">
        <f>IF($E180="","",ROUND(('Settings'!$B$6-$E180)/30.4375,1))</f>
        <v/>
      </c>
      <c r="R180" s="16">
        <f>IF(OR($E180="",N($F180)=0),"",$Q180/$F180)</f>
        <v/>
      </c>
      <c r="S180" s="16">
        <f>IF(N($K180)=0,"",N($J180)/$K180)</f>
        <v/>
      </c>
      <c r="T180" s="17">
        <f>IF(OR($H180="",$G180=""),"",$H180+$G180*7)</f>
        <v/>
      </c>
      <c r="U180" s="9">
        <f>IF(OR($A180="",NOT(OR($P180="Active",$P180="Retention"))),"",IF(AND($I180&lt;&gt;"",$I180&gt;='Settings'!$B$6),"Booked",IF($T180="","",IF('Settings'!$B$6&gt;$T180+'Settings'!$B$7,"Overdue",IF($T180&lt;='Settings'!$B$6+7,"Due this week","On schedule")))))</f>
        <v/>
      </c>
      <c r="V180" s="15">
        <f>IF(OR($L180="",N($N180)=0),"",($L180-N($M180))/$N180)</f>
        <v/>
      </c>
      <c r="W180" s="15">
        <f>IF(OR($L180="",$E180=""),"",MIN($L180,N($M180)+N($V180)*MIN(N($N180),MAX(0,((YEAR('Settings'!$B$6)-YEAR($E180))*12+MONTH('Settings'!$B$6)-MONTH($E180)-IF(DAY('Settings'!$B$6)&lt;DAY($E180),1,0))))))</f>
        <v/>
      </c>
      <c r="X180" s="15">
        <f>IF($L180="","",$L180-N($O180))</f>
        <v/>
      </c>
      <c r="Y180" s="15">
        <f>IF($W180="","",MAX(0,$W180-N($O180)))</f>
        <v/>
      </c>
      <c r="Z180" s="9">
        <f>IF(OR($A180="",$L180=""),"",IF($X180&lt;=0,"Paid in full",IF($Y180&lt;1,"On track",IF($Y180&lt;=$V180,"1 instalment behind","Behind"))))</f>
        <v/>
      </c>
      <c r="AA180" s="18">
        <f>IF($U180="Overdue",COUNTIF($U$3:$U180,"Overdue"),"")</f>
        <v/>
      </c>
    </row>
    <row r="181">
      <c r="A181" s="4" t="n"/>
      <c r="B181" s="4" t="n"/>
      <c r="C181" s="4" t="n"/>
      <c r="D181" s="4" t="n"/>
      <c r="E181" s="5" t="n"/>
      <c r="F181" s="6" t="n"/>
      <c r="G181" s="6" t="n"/>
      <c r="H181" s="5" t="n"/>
      <c r="I181" s="5" t="n"/>
      <c r="J181" s="6" t="n"/>
      <c r="K181" s="6" t="n"/>
      <c r="L181" s="14" t="n"/>
      <c r="M181" s="14" t="n"/>
      <c r="N181" s="6" t="n"/>
      <c r="O181" s="14" t="n"/>
      <c r="P181" s="4" t="n"/>
      <c r="Q181" s="15">
        <f>IF($E181="","",ROUND(('Settings'!$B$6-$E181)/30.4375,1))</f>
        <v/>
      </c>
      <c r="R181" s="16">
        <f>IF(OR($E181="",N($F181)=0),"",$Q181/$F181)</f>
        <v/>
      </c>
      <c r="S181" s="16">
        <f>IF(N($K181)=0,"",N($J181)/$K181)</f>
        <v/>
      </c>
      <c r="T181" s="17">
        <f>IF(OR($H181="",$G181=""),"",$H181+$G181*7)</f>
        <v/>
      </c>
      <c r="U181" s="9">
        <f>IF(OR($A181="",NOT(OR($P181="Active",$P181="Retention"))),"",IF(AND($I181&lt;&gt;"",$I181&gt;='Settings'!$B$6),"Booked",IF($T181="","",IF('Settings'!$B$6&gt;$T181+'Settings'!$B$7,"Overdue",IF($T181&lt;='Settings'!$B$6+7,"Due this week","On schedule")))))</f>
        <v/>
      </c>
      <c r="V181" s="15">
        <f>IF(OR($L181="",N($N181)=0),"",($L181-N($M181))/$N181)</f>
        <v/>
      </c>
      <c r="W181" s="15">
        <f>IF(OR($L181="",$E181=""),"",MIN($L181,N($M181)+N($V181)*MIN(N($N181),MAX(0,((YEAR('Settings'!$B$6)-YEAR($E181))*12+MONTH('Settings'!$B$6)-MONTH($E181)-IF(DAY('Settings'!$B$6)&lt;DAY($E181),1,0))))))</f>
        <v/>
      </c>
      <c r="X181" s="15">
        <f>IF($L181="","",$L181-N($O181))</f>
        <v/>
      </c>
      <c r="Y181" s="15">
        <f>IF($W181="","",MAX(0,$W181-N($O181)))</f>
        <v/>
      </c>
      <c r="Z181" s="9">
        <f>IF(OR($A181="",$L181=""),"",IF($X181&lt;=0,"Paid in full",IF($Y181&lt;1,"On track",IF($Y181&lt;=$V181,"1 instalment behind","Behind"))))</f>
        <v/>
      </c>
      <c r="AA181" s="18">
        <f>IF($U181="Overdue",COUNTIF($U$3:$U181,"Overdue"),"")</f>
        <v/>
      </c>
    </row>
    <row r="182">
      <c r="A182" s="4" t="n"/>
      <c r="B182" s="4" t="n"/>
      <c r="C182" s="4" t="n"/>
      <c r="D182" s="4" t="n"/>
      <c r="E182" s="5" t="n"/>
      <c r="F182" s="6" t="n"/>
      <c r="G182" s="6" t="n"/>
      <c r="H182" s="5" t="n"/>
      <c r="I182" s="5" t="n"/>
      <c r="J182" s="6" t="n"/>
      <c r="K182" s="6" t="n"/>
      <c r="L182" s="14" t="n"/>
      <c r="M182" s="14" t="n"/>
      <c r="N182" s="6" t="n"/>
      <c r="O182" s="14" t="n"/>
      <c r="P182" s="4" t="n"/>
      <c r="Q182" s="15">
        <f>IF($E182="","",ROUND(('Settings'!$B$6-$E182)/30.4375,1))</f>
        <v/>
      </c>
      <c r="R182" s="16">
        <f>IF(OR($E182="",N($F182)=0),"",$Q182/$F182)</f>
        <v/>
      </c>
      <c r="S182" s="16">
        <f>IF(N($K182)=0,"",N($J182)/$K182)</f>
        <v/>
      </c>
      <c r="T182" s="17">
        <f>IF(OR($H182="",$G182=""),"",$H182+$G182*7)</f>
        <v/>
      </c>
      <c r="U182" s="9">
        <f>IF(OR($A182="",NOT(OR($P182="Active",$P182="Retention"))),"",IF(AND($I182&lt;&gt;"",$I182&gt;='Settings'!$B$6),"Booked",IF($T182="","",IF('Settings'!$B$6&gt;$T182+'Settings'!$B$7,"Overdue",IF($T182&lt;='Settings'!$B$6+7,"Due this week","On schedule")))))</f>
        <v/>
      </c>
      <c r="V182" s="15">
        <f>IF(OR($L182="",N($N182)=0),"",($L182-N($M182))/$N182)</f>
        <v/>
      </c>
      <c r="W182" s="15">
        <f>IF(OR($L182="",$E182=""),"",MIN($L182,N($M182)+N($V182)*MIN(N($N182),MAX(0,((YEAR('Settings'!$B$6)-YEAR($E182))*12+MONTH('Settings'!$B$6)-MONTH($E182)-IF(DAY('Settings'!$B$6)&lt;DAY($E182),1,0))))))</f>
        <v/>
      </c>
      <c r="X182" s="15">
        <f>IF($L182="","",$L182-N($O182))</f>
        <v/>
      </c>
      <c r="Y182" s="15">
        <f>IF($W182="","",MAX(0,$W182-N($O182)))</f>
        <v/>
      </c>
      <c r="Z182" s="9">
        <f>IF(OR($A182="",$L182=""),"",IF($X182&lt;=0,"Paid in full",IF($Y182&lt;1,"On track",IF($Y182&lt;=$V182,"1 instalment behind","Behind"))))</f>
        <v/>
      </c>
      <c r="AA182" s="18">
        <f>IF($U182="Overdue",COUNTIF($U$3:$U182,"Overdue"),"")</f>
        <v/>
      </c>
    </row>
    <row r="183">
      <c r="A183" s="4" t="n"/>
      <c r="B183" s="4" t="n"/>
      <c r="C183" s="4" t="n"/>
      <c r="D183" s="4" t="n"/>
      <c r="E183" s="5" t="n"/>
      <c r="F183" s="6" t="n"/>
      <c r="G183" s="6" t="n"/>
      <c r="H183" s="5" t="n"/>
      <c r="I183" s="5" t="n"/>
      <c r="J183" s="6" t="n"/>
      <c r="K183" s="6" t="n"/>
      <c r="L183" s="14" t="n"/>
      <c r="M183" s="14" t="n"/>
      <c r="N183" s="6" t="n"/>
      <c r="O183" s="14" t="n"/>
      <c r="P183" s="4" t="n"/>
      <c r="Q183" s="15">
        <f>IF($E183="","",ROUND(('Settings'!$B$6-$E183)/30.4375,1))</f>
        <v/>
      </c>
      <c r="R183" s="16">
        <f>IF(OR($E183="",N($F183)=0),"",$Q183/$F183)</f>
        <v/>
      </c>
      <c r="S183" s="16">
        <f>IF(N($K183)=0,"",N($J183)/$K183)</f>
        <v/>
      </c>
      <c r="T183" s="17">
        <f>IF(OR($H183="",$G183=""),"",$H183+$G183*7)</f>
        <v/>
      </c>
      <c r="U183" s="9">
        <f>IF(OR($A183="",NOT(OR($P183="Active",$P183="Retention"))),"",IF(AND($I183&lt;&gt;"",$I183&gt;='Settings'!$B$6),"Booked",IF($T183="","",IF('Settings'!$B$6&gt;$T183+'Settings'!$B$7,"Overdue",IF($T183&lt;='Settings'!$B$6+7,"Due this week","On schedule")))))</f>
        <v/>
      </c>
      <c r="V183" s="15">
        <f>IF(OR($L183="",N($N183)=0),"",($L183-N($M183))/$N183)</f>
        <v/>
      </c>
      <c r="W183" s="15">
        <f>IF(OR($L183="",$E183=""),"",MIN($L183,N($M183)+N($V183)*MIN(N($N183),MAX(0,((YEAR('Settings'!$B$6)-YEAR($E183))*12+MONTH('Settings'!$B$6)-MONTH($E183)-IF(DAY('Settings'!$B$6)&lt;DAY($E183),1,0))))))</f>
        <v/>
      </c>
      <c r="X183" s="15">
        <f>IF($L183="","",$L183-N($O183))</f>
        <v/>
      </c>
      <c r="Y183" s="15">
        <f>IF($W183="","",MAX(0,$W183-N($O183)))</f>
        <v/>
      </c>
      <c r="Z183" s="9">
        <f>IF(OR($A183="",$L183=""),"",IF($X183&lt;=0,"Paid in full",IF($Y183&lt;1,"On track",IF($Y183&lt;=$V183,"1 instalment behind","Behind"))))</f>
        <v/>
      </c>
      <c r="AA183" s="18">
        <f>IF($U183="Overdue",COUNTIF($U$3:$U183,"Overdue"),"")</f>
        <v/>
      </c>
    </row>
    <row r="184">
      <c r="A184" s="4" t="n"/>
      <c r="B184" s="4" t="n"/>
      <c r="C184" s="4" t="n"/>
      <c r="D184" s="4" t="n"/>
      <c r="E184" s="5" t="n"/>
      <c r="F184" s="6" t="n"/>
      <c r="G184" s="6" t="n"/>
      <c r="H184" s="5" t="n"/>
      <c r="I184" s="5" t="n"/>
      <c r="J184" s="6" t="n"/>
      <c r="K184" s="6" t="n"/>
      <c r="L184" s="14" t="n"/>
      <c r="M184" s="14" t="n"/>
      <c r="N184" s="6" t="n"/>
      <c r="O184" s="14" t="n"/>
      <c r="P184" s="4" t="n"/>
      <c r="Q184" s="15">
        <f>IF($E184="","",ROUND(('Settings'!$B$6-$E184)/30.4375,1))</f>
        <v/>
      </c>
      <c r="R184" s="16">
        <f>IF(OR($E184="",N($F184)=0),"",$Q184/$F184)</f>
        <v/>
      </c>
      <c r="S184" s="16">
        <f>IF(N($K184)=0,"",N($J184)/$K184)</f>
        <v/>
      </c>
      <c r="T184" s="17">
        <f>IF(OR($H184="",$G184=""),"",$H184+$G184*7)</f>
        <v/>
      </c>
      <c r="U184" s="9">
        <f>IF(OR($A184="",NOT(OR($P184="Active",$P184="Retention"))),"",IF(AND($I184&lt;&gt;"",$I184&gt;='Settings'!$B$6),"Booked",IF($T184="","",IF('Settings'!$B$6&gt;$T184+'Settings'!$B$7,"Overdue",IF($T184&lt;='Settings'!$B$6+7,"Due this week","On schedule")))))</f>
        <v/>
      </c>
      <c r="V184" s="15">
        <f>IF(OR($L184="",N($N184)=0),"",($L184-N($M184))/$N184)</f>
        <v/>
      </c>
      <c r="W184" s="15">
        <f>IF(OR($L184="",$E184=""),"",MIN($L184,N($M184)+N($V184)*MIN(N($N184),MAX(0,((YEAR('Settings'!$B$6)-YEAR($E184))*12+MONTH('Settings'!$B$6)-MONTH($E184)-IF(DAY('Settings'!$B$6)&lt;DAY($E184),1,0))))))</f>
        <v/>
      </c>
      <c r="X184" s="15">
        <f>IF($L184="","",$L184-N($O184))</f>
        <v/>
      </c>
      <c r="Y184" s="15">
        <f>IF($W184="","",MAX(0,$W184-N($O184)))</f>
        <v/>
      </c>
      <c r="Z184" s="9">
        <f>IF(OR($A184="",$L184=""),"",IF($X184&lt;=0,"Paid in full",IF($Y184&lt;1,"On track",IF($Y184&lt;=$V184,"1 instalment behind","Behind"))))</f>
        <v/>
      </c>
      <c r="AA184" s="18">
        <f>IF($U184="Overdue",COUNTIF($U$3:$U184,"Overdue"),"")</f>
        <v/>
      </c>
    </row>
    <row r="185">
      <c r="A185" s="4" t="n"/>
      <c r="B185" s="4" t="n"/>
      <c r="C185" s="4" t="n"/>
      <c r="D185" s="4" t="n"/>
      <c r="E185" s="5" t="n"/>
      <c r="F185" s="6" t="n"/>
      <c r="G185" s="6" t="n"/>
      <c r="H185" s="5" t="n"/>
      <c r="I185" s="5" t="n"/>
      <c r="J185" s="6" t="n"/>
      <c r="K185" s="6" t="n"/>
      <c r="L185" s="14" t="n"/>
      <c r="M185" s="14" t="n"/>
      <c r="N185" s="6" t="n"/>
      <c r="O185" s="14" t="n"/>
      <c r="P185" s="4" t="n"/>
      <c r="Q185" s="15">
        <f>IF($E185="","",ROUND(('Settings'!$B$6-$E185)/30.4375,1))</f>
        <v/>
      </c>
      <c r="R185" s="16">
        <f>IF(OR($E185="",N($F185)=0),"",$Q185/$F185)</f>
        <v/>
      </c>
      <c r="S185" s="16">
        <f>IF(N($K185)=0,"",N($J185)/$K185)</f>
        <v/>
      </c>
      <c r="T185" s="17">
        <f>IF(OR($H185="",$G185=""),"",$H185+$G185*7)</f>
        <v/>
      </c>
      <c r="U185" s="9">
        <f>IF(OR($A185="",NOT(OR($P185="Active",$P185="Retention"))),"",IF(AND($I185&lt;&gt;"",$I185&gt;='Settings'!$B$6),"Booked",IF($T185="","",IF('Settings'!$B$6&gt;$T185+'Settings'!$B$7,"Overdue",IF($T185&lt;='Settings'!$B$6+7,"Due this week","On schedule")))))</f>
        <v/>
      </c>
      <c r="V185" s="15">
        <f>IF(OR($L185="",N($N185)=0),"",($L185-N($M185))/$N185)</f>
        <v/>
      </c>
      <c r="W185" s="15">
        <f>IF(OR($L185="",$E185=""),"",MIN($L185,N($M185)+N($V185)*MIN(N($N185),MAX(0,((YEAR('Settings'!$B$6)-YEAR($E185))*12+MONTH('Settings'!$B$6)-MONTH($E185)-IF(DAY('Settings'!$B$6)&lt;DAY($E185),1,0))))))</f>
        <v/>
      </c>
      <c r="X185" s="15">
        <f>IF($L185="","",$L185-N($O185))</f>
        <v/>
      </c>
      <c r="Y185" s="15">
        <f>IF($W185="","",MAX(0,$W185-N($O185)))</f>
        <v/>
      </c>
      <c r="Z185" s="9">
        <f>IF(OR($A185="",$L185=""),"",IF($X185&lt;=0,"Paid in full",IF($Y185&lt;1,"On track",IF($Y185&lt;=$V185,"1 instalment behind","Behind"))))</f>
        <v/>
      </c>
      <c r="AA185" s="18">
        <f>IF($U185="Overdue",COUNTIF($U$3:$U185,"Overdue"),"")</f>
        <v/>
      </c>
    </row>
    <row r="186">
      <c r="A186" s="4" t="n"/>
      <c r="B186" s="4" t="n"/>
      <c r="C186" s="4" t="n"/>
      <c r="D186" s="4" t="n"/>
      <c r="E186" s="5" t="n"/>
      <c r="F186" s="6" t="n"/>
      <c r="G186" s="6" t="n"/>
      <c r="H186" s="5" t="n"/>
      <c r="I186" s="5" t="n"/>
      <c r="J186" s="6" t="n"/>
      <c r="K186" s="6" t="n"/>
      <c r="L186" s="14" t="n"/>
      <c r="M186" s="14" t="n"/>
      <c r="N186" s="6" t="n"/>
      <c r="O186" s="14" t="n"/>
      <c r="P186" s="4" t="n"/>
      <c r="Q186" s="15">
        <f>IF($E186="","",ROUND(('Settings'!$B$6-$E186)/30.4375,1))</f>
        <v/>
      </c>
      <c r="R186" s="16">
        <f>IF(OR($E186="",N($F186)=0),"",$Q186/$F186)</f>
        <v/>
      </c>
      <c r="S186" s="16">
        <f>IF(N($K186)=0,"",N($J186)/$K186)</f>
        <v/>
      </c>
      <c r="T186" s="17">
        <f>IF(OR($H186="",$G186=""),"",$H186+$G186*7)</f>
        <v/>
      </c>
      <c r="U186" s="9">
        <f>IF(OR($A186="",NOT(OR($P186="Active",$P186="Retention"))),"",IF(AND($I186&lt;&gt;"",$I186&gt;='Settings'!$B$6),"Booked",IF($T186="","",IF('Settings'!$B$6&gt;$T186+'Settings'!$B$7,"Overdue",IF($T186&lt;='Settings'!$B$6+7,"Due this week","On schedule")))))</f>
        <v/>
      </c>
      <c r="V186" s="15">
        <f>IF(OR($L186="",N($N186)=0),"",($L186-N($M186))/$N186)</f>
        <v/>
      </c>
      <c r="W186" s="15">
        <f>IF(OR($L186="",$E186=""),"",MIN($L186,N($M186)+N($V186)*MIN(N($N186),MAX(0,((YEAR('Settings'!$B$6)-YEAR($E186))*12+MONTH('Settings'!$B$6)-MONTH($E186)-IF(DAY('Settings'!$B$6)&lt;DAY($E186),1,0))))))</f>
        <v/>
      </c>
      <c r="X186" s="15">
        <f>IF($L186="","",$L186-N($O186))</f>
        <v/>
      </c>
      <c r="Y186" s="15">
        <f>IF($W186="","",MAX(0,$W186-N($O186)))</f>
        <v/>
      </c>
      <c r="Z186" s="9">
        <f>IF(OR($A186="",$L186=""),"",IF($X186&lt;=0,"Paid in full",IF($Y186&lt;1,"On track",IF($Y186&lt;=$V186,"1 instalment behind","Behind"))))</f>
        <v/>
      </c>
      <c r="AA186" s="18">
        <f>IF($U186="Overdue",COUNTIF($U$3:$U186,"Overdue"),"")</f>
        <v/>
      </c>
    </row>
    <row r="187">
      <c r="A187" s="4" t="n"/>
      <c r="B187" s="4" t="n"/>
      <c r="C187" s="4" t="n"/>
      <c r="D187" s="4" t="n"/>
      <c r="E187" s="5" t="n"/>
      <c r="F187" s="6" t="n"/>
      <c r="G187" s="6" t="n"/>
      <c r="H187" s="5" t="n"/>
      <c r="I187" s="5" t="n"/>
      <c r="J187" s="6" t="n"/>
      <c r="K187" s="6" t="n"/>
      <c r="L187" s="14" t="n"/>
      <c r="M187" s="14" t="n"/>
      <c r="N187" s="6" t="n"/>
      <c r="O187" s="14" t="n"/>
      <c r="P187" s="4" t="n"/>
      <c r="Q187" s="15">
        <f>IF($E187="","",ROUND(('Settings'!$B$6-$E187)/30.4375,1))</f>
        <v/>
      </c>
      <c r="R187" s="16">
        <f>IF(OR($E187="",N($F187)=0),"",$Q187/$F187)</f>
        <v/>
      </c>
      <c r="S187" s="16">
        <f>IF(N($K187)=0,"",N($J187)/$K187)</f>
        <v/>
      </c>
      <c r="T187" s="17">
        <f>IF(OR($H187="",$G187=""),"",$H187+$G187*7)</f>
        <v/>
      </c>
      <c r="U187" s="9">
        <f>IF(OR($A187="",NOT(OR($P187="Active",$P187="Retention"))),"",IF(AND($I187&lt;&gt;"",$I187&gt;='Settings'!$B$6),"Booked",IF($T187="","",IF('Settings'!$B$6&gt;$T187+'Settings'!$B$7,"Overdue",IF($T187&lt;='Settings'!$B$6+7,"Due this week","On schedule")))))</f>
        <v/>
      </c>
      <c r="V187" s="15">
        <f>IF(OR($L187="",N($N187)=0),"",($L187-N($M187))/$N187)</f>
        <v/>
      </c>
      <c r="W187" s="15">
        <f>IF(OR($L187="",$E187=""),"",MIN($L187,N($M187)+N($V187)*MIN(N($N187),MAX(0,((YEAR('Settings'!$B$6)-YEAR($E187))*12+MONTH('Settings'!$B$6)-MONTH($E187)-IF(DAY('Settings'!$B$6)&lt;DAY($E187),1,0))))))</f>
        <v/>
      </c>
      <c r="X187" s="15">
        <f>IF($L187="","",$L187-N($O187))</f>
        <v/>
      </c>
      <c r="Y187" s="15">
        <f>IF($W187="","",MAX(0,$W187-N($O187)))</f>
        <v/>
      </c>
      <c r="Z187" s="9">
        <f>IF(OR($A187="",$L187=""),"",IF($X187&lt;=0,"Paid in full",IF($Y187&lt;1,"On track",IF($Y187&lt;=$V187,"1 instalment behind","Behind"))))</f>
        <v/>
      </c>
      <c r="AA187" s="18">
        <f>IF($U187="Overdue",COUNTIF($U$3:$U187,"Overdue"),"")</f>
        <v/>
      </c>
    </row>
    <row r="188">
      <c r="A188" s="4" t="n"/>
      <c r="B188" s="4" t="n"/>
      <c r="C188" s="4" t="n"/>
      <c r="D188" s="4" t="n"/>
      <c r="E188" s="5" t="n"/>
      <c r="F188" s="6" t="n"/>
      <c r="G188" s="6" t="n"/>
      <c r="H188" s="5" t="n"/>
      <c r="I188" s="5" t="n"/>
      <c r="J188" s="6" t="n"/>
      <c r="K188" s="6" t="n"/>
      <c r="L188" s="14" t="n"/>
      <c r="M188" s="14" t="n"/>
      <c r="N188" s="6" t="n"/>
      <c r="O188" s="14" t="n"/>
      <c r="P188" s="4" t="n"/>
      <c r="Q188" s="15">
        <f>IF($E188="","",ROUND(('Settings'!$B$6-$E188)/30.4375,1))</f>
        <v/>
      </c>
      <c r="R188" s="16">
        <f>IF(OR($E188="",N($F188)=0),"",$Q188/$F188)</f>
        <v/>
      </c>
      <c r="S188" s="16">
        <f>IF(N($K188)=0,"",N($J188)/$K188)</f>
        <v/>
      </c>
      <c r="T188" s="17">
        <f>IF(OR($H188="",$G188=""),"",$H188+$G188*7)</f>
        <v/>
      </c>
      <c r="U188" s="9">
        <f>IF(OR($A188="",NOT(OR($P188="Active",$P188="Retention"))),"",IF(AND($I188&lt;&gt;"",$I188&gt;='Settings'!$B$6),"Booked",IF($T188="","",IF('Settings'!$B$6&gt;$T188+'Settings'!$B$7,"Overdue",IF($T188&lt;='Settings'!$B$6+7,"Due this week","On schedule")))))</f>
        <v/>
      </c>
      <c r="V188" s="15">
        <f>IF(OR($L188="",N($N188)=0),"",($L188-N($M188))/$N188)</f>
        <v/>
      </c>
      <c r="W188" s="15">
        <f>IF(OR($L188="",$E188=""),"",MIN($L188,N($M188)+N($V188)*MIN(N($N188),MAX(0,((YEAR('Settings'!$B$6)-YEAR($E188))*12+MONTH('Settings'!$B$6)-MONTH($E188)-IF(DAY('Settings'!$B$6)&lt;DAY($E188),1,0))))))</f>
        <v/>
      </c>
      <c r="X188" s="15">
        <f>IF($L188="","",$L188-N($O188))</f>
        <v/>
      </c>
      <c r="Y188" s="15">
        <f>IF($W188="","",MAX(0,$W188-N($O188)))</f>
        <v/>
      </c>
      <c r="Z188" s="9">
        <f>IF(OR($A188="",$L188=""),"",IF($X188&lt;=0,"Paid in full",IF($Y188&lt;1,"On track",IF($Y188&lt;=$V188,"1 instalment behind","Behind"))))</f>
        <v/>
      </c>
      <c r="AA188" s="18">
        <f>IF($U188="Overdue",COUNTIF($U$3:$U188,"Overdue"),"")</f>
        <v/>
      </c>
    </row>
    <row r="189">
      <c r="A189" s="4" t="n"/>
      <c r="B189" s="4" t="n"/>
      <c r="C189" s="4" t="n"/>
      <c r="D189" s="4" t="n"/>
      <c r="E189" s="5" t="n"/>
      <c r="F189" s="6" t="n"/>
      <c r="G189" s="6" t="n"/>
      <c r="H189" s="5" t="n"/>
      <c r="I189" s="5" t="n"/>
      <c r="J189" s="6" t="n"/>
      <c r="K189" s="6" t="n"/>
      <c r="L189" s="14" t="n"/>
      <c r="M189" s="14" t="n"/>
      <c r="N189" s="6" t="n"/>
      <c r="O189" s="14" t="n"/>
      <c r="P189" s="4" t="n"/>
      <c r="Q189" s="15">
        <f>IF($E189="","",ROUND(('Settings'!$B$6-$E189)/30.4375,1))</f>
        <v/>
      </c>
      <c r="R189" s="16">
        <f>IF(OR($E189="",N($F189)=0),"",$Q189/$F189)</f>
        <v/>
      </c>
      <c r="S189" s="16">
        <f>IF(N($K189)=0,"",N($J189)/$K189)</f>
        <v/>
      </c>
      <c r="T189" s="17">
        <f>IF(OR($H189="",$G189=""),"",$H189+$G189*7)</f>
        <v/>
      </c>
      <c r="U189" s="9">
        <f>IF(OR($A189="",NOT(OR($P189="Active",$P189="Retention"))),"",IF(AND($I189&lt;&gt;"",$I189&gt;='Settings'!$B$6),"Booked",IF($T189="","",IF('Settings'!$B$6&gt;$T189+'Settings'!$B$7,"Overdue",IF($T189&lt;='Settings'!$B$6+7,"Due this week","On schedule")))))</f>
        <v/>
      </c>
      <c r="V189" s="15">
        <f>IF(OR($L189="",N($N189)=0),"",($L189-N($M189))/$N189)</f>
        <v/>
      </c>
      <c r="W189" s="15">
        <f>IF(OR($L189="",$E189=""),"",MIN($L189,N($M189)+N($V189)*MIN(N($N189),MAX(0,((YEAR('Settings'!$B$6)-YEAR($E189))*12+MONTH('Settings'!$B$6)-MONTH($E189)-IF(DAY('Settings'!$B$6)&lt;DAY($E189),1,0))))))</f>
        <v/>
      </c>
      <c r="X189" s="15">
        <f>IF($L189="","",$L189-N($O189))</f>
        <v/>
      </c>
      <c r="Y189" s="15">
        <f>IF($W189="","",MAX(0,$W189-N($O189)))</f>
        <v/>
      </c>
      <c r="Z189" s="9">
        <f>IF(OR($A189="",$L189=""),"",IF($X189&lt;=0,"Paid in full",IF($Y189&lt;1,"On track",IF($Y189&lt;=$V189,"1 instalment behind","Behind"))))</f>
        <v/>
      </c>
      <c r="AA189" s="18">
        <f>IF($U189="Overdue",COUNTIF($U$3:$U189,"Overdue"),"")</f>
        <v/>
      </c>
    </row>
    <row r="190">
      <c r="A190" s="4" t="n"/>
      <c r="B190" s="4" t="n"/>
      <c r="C190" s="4" t="n"/>
      <c r="D190" s="4" t="n"/>
      <c r="E190" s="5" t="n"/>
      <c r="F190" s="6" t="n"/>
      <c r="G190" s="6" t="n"/>
      <c r="H190" s="5" t="n"/>
      <c r="I190" s="5" t="n"/>
      <c r="J190" s="6" t="n"/>
      <c r="K190" s="6" t="n"/>
      <c r="L190" s="14" t="n"/>
      <c r="M190" s="14" t="n"/>
      <c r="N190" s="6" t="n"/>
      <c r="O190" s="14" t="n"/>
      <c r="P190" s="4" t="n"/>
      <c r="Q190" s="15">
        <f>IF($E190="","",ROUND(('Settings'!$B$6-$E190)/30.4375,1))</f>
        <v/>
      </c>
      <c r="R190" s="16">
        <f>IF(OR($E190="",N($F190)=0),"",$Q190/$F190)</f>
        <v/>
      </c>
      <c r="S190" s="16">
        <f>IF(N($K190)=0,"",N($J190)/$K190)</f>
        <v/>
      </c>
      <c r="T190" s="17">
        <f>IF(OR($H190="",$G190=""),"",$H190+$G190*7)</f>
        <v/>
      </c>
      <c r="U190" s="9">
        <f>IF(OR($A190="",NOT(OR($P190="Active",$P190="Retention"))),"",IF(AND($I190&lt;&gt;"",$I190&gt;='Settings'!$B$6),"Booked",IF($T190="","",IF('Settings'!$B$6&gt;$T190+'Settings'!$B$7,"Overdue",IF($T190&lt;='Settings'!$B$6+7,"Due this week","On schedule")))))</f>
        <v/>
      </c>
      <c r="V190" s="15">
        <f>IF(OR($L190="",N($N190)=0),"",($L190-N($M190))/$N190)</f>
        <v/>
      </c>
      <c r="W190" s="15">
        <f>IF(OR($L190="",$E190=""),"",MIN($L190,N($M190)+N($V190)*MIN(N($N190),MAX(0,((YEAR('Settings'!$B$6)-YEAR($E190))*12+MONTH('Settings'!$B$6)-MONTH($E190)-IF(DAY('Settings'!$B$6)&lt;DAY($E190),1,0))))))</f>
        <v/>
      </c>
      <c r="X190" s="15">
        <f>IF($L190="","",$L190-N($O190))</f>
        <v/>
      </c>
      <c r="Y190" s="15">
        <f>IF($W190="","",MAX(0,$W190-N($O190)))</f>
        <v/>
      </c>
      <c r="Z190" s="9">
        <f>IF(OR($A190="",$L190=""),"",IF($X190&lt;=0,"Paid in full",IF($Y190&lt;1,"On track",IF($Y190&lt;=$V190,"1 instalment behind","Behind"))))</f>
        <v/>
      </c>
      <c r="AA190" s="18">
        <f>IF($U190="Overdue",COUNTIF($U$3:$U190,"Overdue"),"")</f>
        <v/>
      </c>
    </row>
    <row r="191">
      <c r="A191" s="4" t="n"/>
      <c r="B191" s="4" t="n"/>
      <c r="C191" s="4" t="n"/>
      <c r="D191" s="4" t="n"/>
      <c r="E191" s="5" t="n"/>
      <c r="F191" s="6" t="n"/>
      <c r="G191" s="6" t="n"/>
      <c r="H191" s="5" t="n"/>
      <c r="I191" s="5" t="n"/>
      <c r="J191" s="6" t="n"/>
      <c r="K191" s="6" t="n"/>
      <c r="L191" s="14" t="n"/>
      <c r="M191" s="14" t="n"/>
      <c r="N191" s="6" t="n"/>
      <c r="O191" s="14" t="n"/>
      <c r="P191" s="4" t="n"/>
      <c r="Q191" s="15">
        <f>IF($E191="","",ROUND(('Settings'!$B$6-$E191)/30.4375,1))</f>
        <v/>
      </c>
      <c r="R191" s="16">
        <f>IF(OR($E191="",N($F191)=0),"",$Q191/$F191)</f>
        <v/>
      </c>
      <c r="S191" s="16">
        <f>IF(N($K191)=0,"",N($J191)/$K191)</f>
        <v/>
      </c>
      <c r="T191" s="17">
        <f>IF(OR($H191="",$G191=""),"",$H191+$G191*7)</f>
        <v/>
      </c>
      <c r="U191" s="9">
        <f>IF(OR($A191="",NOT(OR($P191="Active",$P191="Retention"))),"",IF(AND($I191&lt;&gt;"",$I191&gt;='Settings'!$B$6),"Booked",IF($T191="","",IF('Settings'!$B$6&gt;$T191+'Settings'!$B$7,"Overdue",IF($T191&lt;='Settings'!$B$6+7,"Due this week","On schedule")))))</f>
        <v/>
      </c>
      <c r="V191" s="15">
        <f>IF(OR($L191="",N($N191)=0),"",($L191-N($M191))/$N191)</f>
        <v/>
      </c>
      <c r="W191" s="15">
        <f>IF(OR($L191="",$E191=""),"",MIN($L191,N($M191)+N($V191)*MIN(N($N191),MAX(0,((YEAR('Settings'!$B$6)-YEAR($E191))*12+MONTH('Settings'!$B$6)-MONTH($E191)-IF(DAY('Settings'!$B$6)&lt;DAY($E191),1,0))))))</f>
        <v/>
      </c>
      <c r="X191" s="15">
        <f>IF($L191="","",$L191-N($O191))</f>
        <v/>
      </c>
      <c r="Y191" s="15">
        <f>IF($W191="","",MAX(0,$W191-N($O191)))</f>
        <v/>
      </c>
      <c r="Z191" s="9">
        <f>IF(OR($A191="",$L191=""),"",IF($X191&lt;=0,"Paid in full",IF($Y191&lt;1,"On track",IF($Y191&lt;=$V191,"1 instalment behind","Behind"))))</f>
        <v/>
      </c>
      <c r="AA191" s="18">
        <f>IF($U191="Overdue",COUNTIF($U$3:$U191,"Overdue"),"")</f>
        <v/>
      </c>
    </row>
    <row r="192">
      <c r="A192" s="4" t="n"/>
      <c r="B192" s="4" t="n"/>
      <c r="C192" s="4" t="n"/>
      <c r="D192" s="4" t="n"/>
      <c r="E192" s="5" t="n"/>
      <c r="F192" s="6" t="n"/>
      <c r="G192" s="6" t="n"/>
      <c r="H192" s="5" t="n"/>
      <c r="I192" s="5" t="n"/>
      <c r="J192" s="6" t="n"/>
      <c r="K192" s="6" t="n"/>
      <c r="L192" s="14" t="n"/>
      <c r="M192" s="14" t="n"/>
      <c r="N192" s="6" t="n"/>
      <c r="O192" s="14" t="n"/>
      <c r="P192" s="4" t="n"/>
      <c r="Q192" s="15">
        <f>IF($E192="","",ROUND(('Settings'!$B$6-$E192)/30.4375,1))</f>
        <v/>
      </c>
      <c r="R192" s="16">
        <f>IF(OR($E192="",N($F192)=0),"",$Q192/$F192)</f>
        <v/>
      </c>
      <c r="S192" s="16">
        <f>IF(N($K192)=0,"",N($J192)/$K192)</f>
        <v/>
      </c>
      <c r="T192" s="17">
        <f>IF(OR($H192="",$G192=""),"",$H192+$G192*7)</f>
        <v/>
      </c>
      <c r="U192" s="9">
        <f>IF(OR($A192="",NOT(OR($P192="Active",$P192="Retention"))),"",IF(AND($I192&lt;&gt;"",$I192&gt;='Settings'!$B$6),"Booked",IF($T192="","",IF('Settings'!$B$6&gt;$T192+'Settings'!$B$7,"Overdue",IF($T192&lt;='Settings'!$B$6+7,"Due this week","On schedule")))))</f>
        <v/>
      </c>
      <c r="V192" s="15">
        <f>IF(OR($L192="",N($N192)=0),"",($L192-N($M192))/$N192)</f>
        <v/>
      </c>
      <c r="W192" s="15">
        <f>IF(OR($L192="",$E192=""),"",MIN($L192,N($M192)+N($V192)*MIN(N($N192),MAX(0,((YEAR('Settings'!$B$6)-YEAR($E192))*12+MONTH('Settings'!$B$6)-MONTH($E192)-IF(DAY('Settings'!$B$6)&lt;DAY($E192),1,0))))))</f>
        <v/>
      </c>
      <c r="X192" s="15">
        <f>IF($L192="","",$L192-N($O192))</f>
        <v/>
      </c>
      <c r="Y192" s="15">
        <f>IF($W192="","",MAX(0,$W192-N($O192)))</f>
        <v/>
      </c>
      <c r="Z192" s="9">
        <f>IF(OR($A192="",$L192=""),"",IF($X192&lt;=0,"Paid in full",IF($Y192&lt;1,"On track",IF($Y192&lt;=$V192,"1 instalment behind","Behind"))))</f>
        <v/>
      </c>
      <c r="AA192" s="18">
        <f>IF($U192="Overdue",COUNTIF($U$3:$U192,"Overdue"),"")</f>
        <v/>
      </c>
    </row>
    <row r="193">
      <c r="A193" s="4" t="n"/>
      <c r="B193" s="4" t="n"/>
      <c r="C193" s="4" t="n"/>
      <c r="D193" s="4" t="n"/>
      <c r="E193" s="5" t="n"/>
      <c r="F193" s="6" t="n"/>
      <c r="G193" s="6" t="n"/>
      <c r="H193" s="5" t="n"/>
      <c r="I193" s="5" t="n"/>
      <c r="J193" s="6" t="n"/>
      <c r="K193" s="6" t="n"/>
      <c r="L193" s="14" t="n"/>
      <c r="M193" s="14" t="n"/>
      <c r="N193" s="6" t="n"/>
      <c r="O193" s="14" t="n"/>
      <c r="P193" s="4" t="n"/>
      <c r="Q193" s="15">
        <f>IF($E193="","",ROUND(('Settings'!$B$6-$E193)/30.4375,1))</f>
        <v/>
      </c>
      <c r="R193" s="16">
        <f>IF(OR($E193="",N($F193)=0),"",$Q193/$F193)</f>
        <v/>
      </c>
      <c r="S193" s="16">
        <f>IF(N($K193)=0,"",N($J193)/$K193)</f>
        <v/>
      </c>
      <c r="T193" s="17">
        <f>IF(OR($H193="",$G193=""),"",$H193+$G193*7)</f>
        <v/>
      </c>
      <c r="U193" s="9">
        <f>IF(OR($A193="",NOT(OR($P193="Active",$P193="Retention"))),"",IF(AND($I193&lt;&gt;"",$I193&gt;='Settings'!$B$6),"Booked",IF($T193="","",IF('Settings'!$B$6&gt;$T193+'Settings'!$B$7,"Overdue",IF($T193&lt;='Settings'!$B$6+7,"Due this week","On schedule")))))</f>
        <v/>
      </c>
      <c r="V193" s="15">
        <f>IF(OR($L193="",N($N193)=0),"",($L193-N($M193))/$N193)</f>
        <v/>
      </c>
      <c r="W193" s="15">
        <f>IF(OR($L193="",$E193=""),"",MIN($L193,N($M193)+N($V193)*MIN(N($N193),MAX(0,((YEAR('Settings'!$B$6)-YEAR($E193))*12+MONTH('Settings'!$B$6)-MONTH($E193)-IF(DAY('Settings'!$B$6)&lt;DAY($E193),1,0))))))</f>
        <v/>
      </c>
      <c r="X193" s="15">
        <f>IF($L193="","",$L193-N($O193))</f>
        <v/>
      </c>
      <c r="Y193" s="15">
        <f>IF($W193="","",MAX(0,$W193-N($O193)))</f>
        <v/>
      </c>
      <c r="Z193" s="9">
        <f>IF(OR($A193="",$L193=""),"",IF($X193&lt;=0,"Paid in full",IF($Y193&lt;1,"On track",IF($Y193&lt;=$V193,"1 instalment behind","Behind"))))</f>
        <v/>
      </c>
      <c r="AA193" s="18">
        <f>IF($U193="Overdue",COUNTIF($U$3:$U193,"Overdue"),"")</f>
        <v/>
      </c>
    </row>
    <row r="194">
      <c r="A194" s="4" t="n"/>
      <c r="B194" s="4" t="n"/>
      <c r="C194" s="4" t="n"/>
      <c r="D194" s="4" t="n"/>
      <c r="E194" s="5" t="n"/>
      <c r="F194" s="6" t="n"/>
      <c r="G194" s="6" t="n"/>
      <c r="H194" s="5" t="n"/>
      <c r="I194" s="5" t="n"/>
      <c r="J194" s="6" t="n"/>
      <c r="K194" s="6" t="n"/>
      <c r="L194" s="14" t="n"/>
      <c r="M194" s="14" t="n"/>
      <c r="N194" s="6" t="n"/>
      <c r="O194" s="14" t="n"/>
      <c r="P194" s="4" t="n"/>
      <c r="Q194" s="15">
        <f>IF($E194="","",ROUND(('Settings'!$B$6-$E194)/30.4375,1))</f>
        <v/>
      </c>
      <c r="R194" s="16">
        <f>IF(OR($E194="",N($F194)=0),"",$Q194/$F194)</f>
        <v/>
      </c>
      <c r="S194" s="16">
        <f>IF(N($K194)=0,"",N($J194)/$K194)</f>
        <v/>
      </c>
      <c r="T194" s="17">
        <f>IF(OR($H194="",$G194=""),"",$H194+$G194*7)</f>
        <v/>
      </c>
      <c r="U194" s="9">
        <f>IF(OR($A194="",NOT(OR($P194="Active",$P194="Retention"))),"",IF(AND($I194&lt;&gt;"",$I194&gt;='Settings'!$B$6),"Booked",IF($T194="","",IF('Settings'!$B$6&gt;$T194+'Settings'!$B$7,"Overdue",IF($T194&lt;='Settings'!$B$6+7,"Due this week","On schedule")))))</f>
        <v/>
      </c>
      <c r="V194" s="15">
        <f>IF(OR($L194="",N($N194)=0),"",($L194-N($M194))/$N194)</f>
        <v/>
      </c>
      <c r="W194" s="15">
        <f>IF(OR($L194="",$E194=""),"",MIN($L194,N($M194)+N($V194)*MIN(N($N194),MAX(0,((YEAR('Settings'!$B$6)-YEAR($E194))*12+MONTH('Settings'!$B$6)-MONTH($E194)-IF(DAY('Settings'!$B$6)&lt;DAY($E194),1,0))))))</f>
        <v/>
      </c>
      <c r="X194" s="15">
        <f>IF($L194="","",$L194-N($O194))</f>
        <v/>
      </c>
      <c r="Y194" s="15">
        <f>IF($W194="","",MAX(0,$W194-N($O194)))</f>
        <v/>
      </c>
      <c r="Z194" s="9">
        <f>IF(OR($A194="",$L194=""),"",IF($X194&lt;=0,"Paid in full",IF($Y194&lt;1,"On track",IF($Y194&lt;=$V194,"1 instalment behind","Behind"))))</f>
        <v/>
      </c>
      <c r="AA194" s="18">
        <f>IF($U194="Overdue",COUNTIF($U$3:$U194,"Overdue"),"")</f>
        <v/>
      </c>
    </row>
    <row r="195">
      <c r="A195" s="4" t="n"/>
      <c r="B195" s="4" t="n"/>
      <c r="C195" s="4" t="n"/>
      <c r="D195" s="4" t="n"/>
      <c r="E195" s="5" t="n"/>
      <c r="F195" s="6" t="n"/>
      <c r="G195" s="6" t="n"/>
      <c r="H195" s="5" t="n"/>
      <c r="I195" s="5" t="n"/>
      <c r="J195" s="6" t="n"/>
      <c r="K195" s="6" t="n"/>
      <c r="L195" s="14" t="n"/>
      <c r="M195" s="14" t="n"/>
      <c r="N195" s="6" t="n"/>
      <c r="O195" s="14" t="n"/>
      <c r="P195" s="4" t="n"/>
      <c r="Q195" s="15">
        <f>IF($E195="","",ROUND(('Settings'!$B$6-$E195)/30.4375,1))</f>
        <v/>
      </c>
      <c r="R195" s="16">
        <f>IF(OR($E195="",N($F195)=0),"",$Q195/$F195)</f>
        <v/>
      </c>
      <c r="S195" s="16">
        <f>IF(N($K195)=0,"",N($J195)/$K195)</f>
        <v/>
      </c>
      <c r="T195" s="17">
        <f>IF(OR($H195="",$G195=""),"",$H195+$G195*7)</f>
        <v/>
      </c>
      <c r="U195" s="9">
        <f>IF(OR($A195="",NOT(OR($P195="Active",$P195="Retention"))),"",IF(AND($I195&lt;&gt;"",$I195&gt;='Settings'!$B$6),"Booked",IF($T195="","",IF('Settings'!$B$6&gt;$T195+'Settings'!$B$7,"Overdue",IF($T195&lt;='Settings'!$B$6+7,"Due this week","On schedule")))))</f>
        <v/>
      </c>
      <c r="V195" s="15">
        <f>IF(OR($L195="",N($N195)=0),"",($L195-N($M195))/$N195)</f>
        <v/>
      </c>
      <c r="W195" s="15">
        <f>IF(OR($L195="",$E195=""),"",MIN($L195,N($M195)+N($V195)*MIN(N($N195),MAX(0,((YEAR('Settings'!$B$6)-YEAR($E195))*12+MONTH('Settings'!$B$6)-MONTH($E195)-IF(DAY('Settings'!$B$6)&lt;DAY($E195),1,0))))))</f>
        <v/>
      </c>
      <c r="X195" s="15">
        <f>IF($L195="","",$L195-N($O195))</f>
        <v/>
      </c>
      <c r="Y195" s="15">
        <f>IF($W195="","",MAX(0,$W195-N($O195)))</f>
        <v/>
      </c>
      <c r="Z195" s="9">
        <f>IF(OR($A195="",$L195=""),"",IF($X195&lt;=0,"Paid in full",IF($Y195&lt;1,"On track",IF($Y195&lt;=$V195,"1 instalment behind","Behind"))))</f>
        <v/>
      </c>
      <c r="AA195" s="18">
        <f>IF($U195="Overdue",COUNTIF($U$3:$U195,"Overdue"),"")</f>
        <v/>
      </c>
    </row>
    <row r="196">
      <c r="A196" s="4" t="n"/>
      <c r="B196" s="4" t="n"/>
      <c r="C196" s="4" t="n"/>
      <c r="D196" s="4" t="n"/>
      <c r="E196" s="5" t="n"/>
      <c r="F196" s="6" t="n"/>
      <c r="G196" s="6" t="n"/>
      <c r="H196" s="5" t="n"/>
      <c r="I196" s="5" t="n"/>
      <c r="J196" s="6" t="n"/>
      <c r="K196" s="6" t="n"/>
      <c r="L196" s="14" t="n"/>
      <c r="M196" s="14" t="n"/>
      <c r="N196" s="6" t="n"/>
      <c r="O196" s="14" t="n"/>
      <c r="P196" s="4" t="n"/>
      <c r="Q196" s="15">
        <f>IF($E196="","",ROUND(('Settings'!$B$6-$E196)/30.4375,1))</f>
        <v/>
      </c>
      <c r="R196" s="16">
        <f>IF(OR($E196="",N($F196)=0),"",$Q196/$F196)</f>
        <v/>
      </c>
      <c r="S196" s="16">
        <f>IF(N($K196)=0,"",N($J196)/$K196)</f>
        <v/>
      </c>
      <c r="T196" s="17">
        <f>IF(OR($H196="",$G196=""),"",$H196+$G196*7)</f>
        <v/>
      </c>
      <c r="U196" s="9">
        <f>IF(OR($A196="",NOT(OR($P196="Active",$P196="Retention"))),"",IF(AND($I196&lt;&gt;"",$I196&gt;='Settings'!$B$6),"Booked",IF($T196="","",IF('Settings'!$B$6&gt;$T196+'Settings'!$B$7,"Overdue",IF($T196&lt;='Settings'!$B$6+7,"Due this week","On schedule")))))</f>
        <v/>
      </c>
      <c r="V196" s="15">
        <f>IF(OR($L196="",N($N196)=0),"",($L196-N($M196))/$N196)</f>
        <v/>
      </c>
      <c r="W196" s="15">
        <f>IF(OR($L196="",$E196=""),"",MIN($L196,N($M196)+N($V196)*MIN(N($N196),MAX(0,((YEAR('Settings'!$B$6)-YEAR($E196))*12+MONTH('Settings'!$B$6)-MONTH($E196)-IF(DAY('Settings'!$B$6)&lt;DAY($E196),1,0))))))</f>
        <v/>
      </c>
      <c r="X196" s="15">
        <f>IF($L196="","",$L196-N($O196))</f>
        <v/>
      </c>
      <c r="Y196" s="15">
        <f>IF($W196="","",MAX(0,$W196-N($O196)))</f>
        <v/>
      </c>
      <c r="Z196" s="9">
        <f>IF(OR($A196="",$L196=""),"",IF($X196&lt;=0,"Paid in full",IF($Y196&lt;1,"On track",IF($Y196&lt;=$V196,"1 instalment behind","Behind"))))</f>
        <v/>
      </c>
      <c r="AA196" s="18">
        <f>IF($U196="Overdue",COUNTIF($U$3:$U196,"Overdue"),"")</f>
        <v/>
      </c>
    </row>
    <row r="197">
      <c r="A197" s="4" t="n"/>
      <c r="B197" s="4" t="n"/>
      <c r="C197" s="4" t="n"/>
      <c r="D197" s="4" t="n"/>
      <c r="E197" s="5" t="n"/>
      <c r="F197" s="6" t="n"/>
      <c r="G197" s="6" t="n"/>
      <c r="H197" s="5" t="n"/>
      <c r="I197" s="5" t="n"/>
      <c r="J197" s="6" t="n"/>
      <c r="K197" s="6" t="n"/>
      <c r="L197" s="14" t="n"/>
      <c r="M197" s="14" t="n"/>
      <c r="N197" s="6" t="n"/>
      <c r="O197" s="14" t="n"/>
      <c r="P197" s="4" t="n"/>
      <c r="Q197" s="15">
        <f>IF($E197="","",ROUND(('Settings'!$B$6-$E197)/30.4375,1))</f>
        <v/>
      </c>
      <c r="R197" s="16">
        <f>IF(OR($E197="",N($F197)=0),"",$Q197/$F197)</f>
        <v/>
      </c>
      <c r="S197" s="16">
        <f>IF(N($K197)=0,"",N($J197)/$K197)</f>
        <v/>
      </c>
      <c r="T197" s="17">
        <f>IF(OR($H197="",$G197=""),"",$H197+$G197*7)</f>
        <v/>
      </c>
      <c r="U197" s="9">
        <f>IF(OR($A197="",NOT(OR($P197="Active",$P197="Retention"))),"",IF(AND($I197&lt;&gt;"",$I197&gt;='Settings'!$B$6),"Booked",IF($T197="","",IF('Settings'!$B$6&gt;$T197+'Settings'!$B$7,"Overdue",IF($T197&lt;='Settings'!$B$6+7,"Due this week","On schedule")))))</f>
        <v/>
      </c>
      <c r="V197" s="15">
        <f>IF(OR($L197="",N($N197)=0),"",($L197-N($M197))/$N197)</f>
        <v/>
      </c>
      <c r="W197" s="15">
        <f>IF(OR($L197="",$E197=""),"",MIN($L197,N($M197)+N($V197)*MIN(N($N197),MAX(0,((YEAR('Settings'!$B$6)-YEAR($E197))*12+MONTH('Settings'!$B$6)-MONTH($E197)-IF(DAY('Settings'!$B$6)&lt;DAY($E197),1,0))))))</f>
        <v/>
      </c>
      <c r="X197" s="15">
        <f>IF($L197="","",$L197-N($O197))</f>
        <v/>
      </c>
      <c r="Y197" s="15">
        <f>IF($W197="","",MAX(0,$W197-N($O197)))</f>
        <v/>
      </c>
      <c r="Z197" s="9">
        <f>IF(OR($A197="",$L197=""),"",IF($X197&lt;=0,"Paid in full",IF($Y197&lt;1,"On track",IF($Y197&lt;=$V197,"1 instalment behind","Behind"))))</f>
        <v/>
      </c>
      <c r="AA197" s="18">
        <f>IF($U197="Overdue",COUNTIF($U$3:$U197,"Overdue"),"")</f>
        <v/>
      </c>
    </row>
    <row r="198">
      <c r="A198" s="4" t="n"/>
      <c r="B198" s="4" t="n"/>
      <c r="C198" s="4" t="n"/>
      <c r="D198" s="4" t="n"/>
      <c r="E198" s="5" t="n"/>
      <c r="F198" s="6" t="n"/>
      <c r="G198" s="6" t="n"/>
      <c r="H198" s="5" t="n"/>
      <c r="I198" s="5" t="n"/>
      <c r="J198" s="6" t="n"/>
      <c r="K198" s="6" t="n"/>
      <c r="L198" s="14" t="n"/>
      <c r="M198" s="14" t="n"/>
      <c r="N198" s="6" t="n"/>
      <c r="O198" s="14" t="n"/>
      <c r="P198" s="4" t="n"/>
      <c r="Q198" s="15">
        <f>IF($E198="","",ROUND(('Settings'!$B$6-$E198)/30.4375,1))</f>
        <v/>
      </c>
      <c r="R198" s="16">
        <f>IF(OR($E198="",N($F198)=0),"",$Q198/$F198)</f>
        <v/>
      </c>
      <c r="S198" s="16">
        <f>IF(N($K198)=0,"",N($J198)/$K198)</f>
        <v/>
      </c>
      <c r="T198" s="17">
        <f>IF(OR($H198="",$G198=""),"",$H198+$G198*7)</f>
        <v/>
      </c>
      <c r="U198" s="9">
        <f>IF(OR($A198="",NOT(OR($P198="Active",$P198="Retention"))),"",IF(AND($I198&lt;&gt;"",$I198&gt;='Settings'!$B$6),"Booked",IF($T198="","",IF('Settings'!$B$6&gt;$T198+'Settings'!$B$7,"Overdue",IF($T198&lt;='Settings'!$B$6+7,"Due this week","On schedule")))))</f>
        <v/>
      </c>
      <c r="V198" s="15">
        <f>IF(OR($L198="",N($N198)=0),"",($L198-N($M198))/$N198)</f>
        <v/>
      </c>
      <c r="W198" s="15">
        <f>IF(OR($L198="",$E198=""),"",MIN($L198,N($M198)+N($V198)*MIN(N($N198),MAX(0,((YEAR('Settings'!$B$6)-YEAR($E198))*12+MONTH('Settings'!$B$6)-MONTH($E198)-IF(DAY('Settings'!$B$6)&lt;DAY($E198),1,0))))))</f>
        <v/>
      </c>
      <c r="X198" s="15">
        <f>IF($L198="","",$L198-N($O198))</f>
        <v/>
      </c>
      <c r="Y198" s="15">
        <f>IF($W198="","",MAX(0,$W198-N($O198)))</f>
        <v/>
      </c>
      <c r="Z198" s="9">
        <f>IF(OR($A198="",$L198=""),"",IF($X198&lt;=0,"Paid in full",IF($Y198&lt;1,"On track",IF($Y198&lt;=$V198,"1 instalment behind","Behind"))))</f>
        <v/>
      </c>
      <c r="AA198" s="18">
        <f>IF($U198="Overdue",COUNTIF($U$3:$U198,"Overdue"),"")</f>
        <v/>
      </c>
    </row>
    <row r="199">
      <c r="A199" s="4" t="n"/>
      <c r="B199" s="4" t="n"/>
      <c r="C199" s="4" t="n"/>
      <c r="D199" s="4" t="n"/>
      <c r="E199" s="5" t="n"/>
      <c r="F199" s="6" t="n"/>
      <c r="G199" s="6" t="n"/>
      <c r="H199" s="5" t="n"/>
      <c r="I199" s="5" t="n"/>
      <c r="J199" s="6" t="n"/>
      <c r="K199" s="6" t="n"/>
      <c r="L199" s="14" t="n"/>
      <c r="M199" s="14" t="n"/>
      <c r="N199" s="6" t="n"/>
      <c r="O199" s="14" t="n"/>
      <c r="P199" s="4" t="n"/>
      <c r="Q199" s="15">
        <f>IF($E199="","",ROUND(('Settings'!$B$6-$E199)/30.4375,1))</f>
        <v/>
      </c>
      <c r="R199" s="16">
        <f>IF(OR($E199="",N($F199)=0),"",$Q199/$F199)</f>
        <v/>
      </c>
      <c r="S199" s="16">
        <f>IF(N($K199)=0,"",N($J199)/$K199)</f>
        <v/>
      </c>
      <c r="T199" s="17">
        <f>IF(OR($H199="",$G199=""),"",$H199+$G199*7)</f>
        <v/>
      </c>
      <c r="U199" s="9">
        <f>IF(OR($A199="",NOT(OR($P199="Active",$P199="Retention"))),"",IF(AND($I199&lt;&gt;"",$I199&gt;='Settings'!$B$6),"Booked",IF($T199="","",IF('Settings'!$B$6&gt;$T199+'Settings'!$B$7,"Overdue",IF($T199&lt;='Settings'!$B$6+7,"Due this week","On schedule")))))</f>
        <v/>
      </c>
      <c r="V199" s="15">
        <f>IF(OR($L199="",N($N199)=0),"",($L199-N($M199))/$N199)</f>
        <v/>
      </c>
      <c r="W199" s="15">
        <f>IF(OR($L199="",$E199=""),"",MIN($L199,N($M199)+N($V199)*MIN(N($N199),MAX(0,((YEAR('Settings'!$B$6)-YEAR($E199))*12+MONTH('Settings'!$B$6)-MONTH($E199)-IF(DAY('Settings'!$B$6)&lt;DAY($E199),1,0))))))</f>
        <v/>
      </c>
      <c r="X199" s="15">
        <f>IF($L199="","",$L199-N($O199))</f>
        <v/>
      </c>
      <c r="Y199" s="15">
        <f>IF($W199="","",MAX(0,$W199-N($O199)))</f>
        <v/>
      </c>
      <c r="Z199" s="9">
        <f>IF(OR($A199="",$L199=""),"",IF($X199&lt;=0,"Paid in full",IF($Y199&lt;1,"On track",IF($Y199&lt;=$V199,"1 instalment behind","Behind"))))</f>
        <v/>
      </c>
      <c r="AA199" s="18">
        <f>IF($U199="Overdue",COUNTIF($U$3:$U199,"Overdue"),"")</f>
        <v/>
      </c>
    </row>
    <row r="200">
      <c r="A200" s="4" t="n"/>
      <c r="B200" s="4" t="n"/>
      <c r="C200" s="4" t="n"/>
      <c r="D200" s="4" t="n"/>
      <c r="E200" s="5" t="n"/>
      <c r="F200" s="6" t="n"/>
      <c r="G200" s="6" t="n"/>
      <c r="H200" s="5" t="n"/>
      <c r="I200" s="5" t="n"/>
      <c r="J200" s="6" t="n"/>
      <c r="K200" s="6" t="n"/>
      <c r="L200" s="14" t="n"/>
      <c r="M200" s="14" t="n"/>
      <c r="N200" s="6" t="n"/>
      <c r="O200" s="14" t="n"/>
      <c r="P200" s="4" t="n"/>
      <c r="Q200" s="15">
        <f>IF($E200="","",ROUND(('Settings'!$B$6-$E200)/30.4375,1))</f>
        <v/>
      </c>
      <c r="R200" s="16">
        <f>IF(OR($E200="",N($F200)=0),"",$Q200/$F200)</f>
        <v/>
      </c>
      <c r="S200" s="16">
        <f>IF(N($K200)=0,"",N($J200)/$K200)</f>
        <v/>
      </c>
      <c r="T200" s="17">
        <f>IF(OR($H200="",$G200=""),"",$H200+$G200*7)</f>
        <v/>
      </c>
      <c r="U200" s="9">
        <f>IF(OR($A200="",NOT(OR($P200="Active",$P200="Retention"))),"",IF(AND($I200&lt;&gt;"",$I200&gt;='Settings'!$B$6),"Booked",IF($T200="","",IF('Settings'!$B$6&gt;$T200+'Settings'!$B$7,"Overdue",IF($T200&lt;='Settings'!$B$6+7,"Due this week","On schedule")))))</f>
        <v/>
      </c>
      <c r="V200" s="15">
        <f>IF(OR($L200="",N($N200)=0),"",($L200-N($M200))/$N200)</f>
        <v/>
      </c>
      <c r="W200" s="15">
        <f>IF(OR($L200="",$E200=""),"",MIN($L200,N($M200)+N($V200)*MIN(N($N200),MAX(0,((YEAR('Settings'!$B$6)-YEAR($E200))*12+MONTH('Settings'!$B$6)-MONTH($E200)-IF(DAY('Settings'!$B$6)&lt;DAY($E200),1,0))))))</f>
        <v/>
      </c>
      <c r="X200" s="15">
        <f>IF($L200="","",$L200-N($O200))</f>
        <v/>
      </c>
      <c r="Y200" s="15">
        <f>IF($W200="","",MAX(0,$W200-N($O200)))</f>
        <v/>
      </c>
      <c r="Z200" s="9">
        <f>IF(OR($A200="",$L200=""),"",IF($X200&lt;=0,"Paid in full",IF($Y200&lt;1,"On track",IF($Y200&lt;=$V200,"1 instalment behind","Behind"))))</f>
        <v/>
      </c>
      <c r="AA200" s="18">
        <f>IF($U200="Overdue",COUNTIF($U$3:$U200,"Overdue"),"")</f>
        <v/>
      </c>
    </row>
    <row r="201">
      <c r="A201" s="4" t="n"/>
      <c r="B201" s="4" t="n"/>
      <c r="C201" s="4" t="n"/>
      <c r="D201" s="4" t="n"/>
      <c r="E201" s="5" t="n"/>
      <c r="F201" s="6" t="n"/>
      <c r="G201" s="6" t="n"/>
      <c r="H201" s="5" t="n"/>
      <c r="I201" s="5" t="n"/>
      <c r="J201" s="6" t="n"/>
      <c r="K201" s="6" t="n"/>
      <c r="L201" s="14" t="n"/>
      <c r="M201" s="14" t="n"/>
      <c r="N201" s="6" t="n"/>
      <c r="O201" s="14" t="n"/>
      <c r="P201" s="4" t="n"/>
      <c r="Q201" s="15">
        <f>IF($E201="","",ROUND(('Settings'!$B$6-$E201)/30.4375,1))</f>
        <v/>
      </c>
      <c r="R201" s="16">
        <f>IF(OR($E201="",N($F201)=0),"",$Q201/$F201)</f>
        <v/>
      </c>
      <c r="S201" s="16">
        <f>IF(N($K201)=0,"",N($J201)/$K201)</f>
        <v/>
      </c>
      <c r="T201" s="17">
        <f>IF(OR($H201="",$G201=""),"",$H201+$G201*7)</f>
        <v/>
      </c>
      <c r="U201" s="9">
        <f>IF(OR($A201="",NOT(OR($P201="Active",$P201="Retention"))),"",IF(AND($I201&lt;&gt;"",$I201&gt;='Settings'!$B$6),"Booked",IF($T201="","",IF('Settings'!$B$6&gt;$T201+'Settings'!$B$7,"Overdue",IF($T201&lt;='Settings'!$B$6+7,"Due this week","On schedule")))))</f>
        <v/>
      </c>
      <c r="V201" s="15">
        <f>IF(OR($L201="",N($N201)=0),"",($L201-N($M201))/$N201)</f>
        <v/>
      </c>
      <c r="W201" s="15">
        <f>IF(OR($L201="",$E201=""),"",MIN($L201,N($M201)+N($V201)*MIN(N($N201),MAX(0,((YEAR('Settings'!$B$6)-YEAR($E201))*12+MONTH('Settings'!$B$6)-MONTH($E201)-IF(DAY('Settings'!$B$6)&lt;DAY($E201),1,0))))))</f>
        <v/>
      </c>
      <c r="X201" s="15">
        <f>IF($L201="","",$L201-N($O201))</f>
        <v/>
      </c>
      <c r="Y201" s="15">
        <f>IF($W201="","",MAX(0,$W201-N($O201)))</f>
        <v/>
      </c>
      <c r="Z201" s="9">
        <f>IF(OR($A201="",$L201=""),"",IF($X201&lt;=0,"Paid in full",IF($Y201&lt;1,"On track",IF($Y201&lt;=$V201,"1 instalment behind","Behind"))))</f>
        <v/>
      </c>
      <c r="AA201" s="18">
        <f>IF($U201="Overdue",COUNTIF($U$3:$U201,"Overdue"),"")</f>
        <v/>
      </c>
    </row>
    <row r="202">
      <c r="A202" s="4" t="n"/>
      <c r="B202" s="4" t="n"/>
      <c r="C202" s="4" t="n"/>
      <c r="D202" s="4" t="n"/>
      <c r="E202" s="5" t="n"/>
      <c r="F202" s="6" t="n"/>
      <c r="G202" s="6" t="n"/>
      <c r="H202" s="5" t="n"/>
      <c r="I202" s="5" t="n"/>
      <c r="J202" s="6" t="n"/>
      <c r="K202" s="6" t="n"/>
      <c r="L202" s="14" t="n"/>
      <c r="M202" s="14" t="n"/>
      <c r="N202" s="6" t="n"/>
      <c r="O202" s="14" t="n"/>
      <c r="P202" s="4" t="n"/>
      <c r="Q202" s="15">
        <f>IF($E202="","",ROUND(('Settings'!$B$6-$E202)/30.4375,1))</f>
        <v/>
      </c>
      <c r="R202" s="16">
        <f>IF(OR($E202="",N($F202)=0),"",$Q202/$F202)</f>
        <v/>
      </c>
      <c r="S202" s="16">
        <f>IF(N($K202)=0,"",N($J202)/$K202)</f>
        <v/>
      </c>
      <c r="T202" s="17">
        <f>IF(OR($H202="",$G202=""),"",$H202+$G202*7)</f>
        <v/>
      </c>
      <c r="U202" s="9">
        <f>IF(OR($A202="",NOT(OR($P202="Active",$P202="Retention"))),"",IF(AND($I202&lt;&gt;"",$I202&gt;='Settings'!$B$6),"Booked",IF($T202="","",IF('Settings'!$B$6&gt;$T202+'Settings'!$B$7,"Overdue",IF($T202&lt;='Settings'!$B$6+7,"Due this week","On schedule")))))</f>
        <v/>
      </c>
      <c r="V202" s="15">
        <f>IF(OR($L202="",N($N202)=0),"",($L202-N($M202))/$N202)</f>
        <v/>
      </c>
      <c r="W202" s="15">
        <f>IF(OR($L202="",$E202=""),"",MIN($L202,N($M202)+N($V202)*MIN(N($N202),MAX(0,((YEAR('Settings'!$B$6)-YEAR($E202))*12+MONTH('Settings'!$B$6)-MONTH($E202)-IF(DAY('Settings'!$B$6)&lt;DAY($E202),1,0))))))</f>
        <v/>
      </c>
      <c r="X202" s="15">
        <f>IF($L202="","",$L202-N($O202))</f>
        <v/>
      </c>
      <c r="Y202" s="15">
        <f>IF($W202="","",MAX(0,$W202-N($O202)))</f>
        <v/>
      </c>
      <c r="Z202" s="9">
        <f>IF(OR($A202="",$L202=""),"",IF($X202&lt;=0,"Paid in full",IF($Y202&lt;1,"On track",IF($Y202&lt;=$V202,"1 instalment behind","Behind"))))</f>
        <v/>
      </c>
      <c r="AA202" s="18">
        <f>IF($U202="Overdue",COUNTIF($U$3:$U202,"Overdue"),"")</f>
        <v/>
      </c>
    </row>
    <row r="203">
      <c r="A203" s="4" t="n"/>
      <c r="B203" s="4" t="n"/>
      <c r="C203" s="4" t="n"/>
      <c r="D203" s="4" t="n"/>
      <c r="E203" s="5" t="n"/>
      <c r="F203" s="6" t="n"/>
      <c r="G203" s="6" t="n"/>
      <c r="H203" s="5" t="n"/>
      <c r="I203" s="5" t="n"/>
      <c r="J203" s="6" t="n"/>
      <c r="K203" s="6" t="n"/>
      <c r="L203" s="14" t="n"/>
      <c r="M203" s="14" t="n"/>
      <c r="N203" s="6" t="n"/>
      <c r="O203" s="14" t="n"/>
      <c r="P203" s="4" t="n"/>
      <c r="Q203" s="15">
        <f>IF($E203="","",ROUND(('Settings'!$B$6-$E203)/30.4375,1))</f>
        <v/>
      </c>
      <c r="R203" s="16">
        <f>IF(OR($E203="",N($F203)=0),"",$Q203/$F203)</f>
        <v/>
      </c>
      <c r="S203" s="16">
        <f>IF(N($K203)=0,"",N($J203)/$K203)</f>
        <v/>
      </c>
      <c r="T203" s="17">
        <f>IF(OR($H203="",$G203=""),"",$H203+$G203*7)</f>
        <v/>
      </c>
      <c r="U203" s="9">
        <f>IF(OR($A203="",NOT(OR($P203="Active",$P203="Retention"))),"",IF(AND($I203&lt;&gt;"",$I203&gt;='Settings'!$B$6),"Booked",IF($T203="","",IF('Settings'!$B$6&gt;$T203+'Settings'!$B$7,"Overdue",IF($T203&lt;='Settings'!$B$6+7,"Due this week","On schedule")))))</f>
        <v/>
      </c>
      <c r="V203" s="15">
        <f>IF(OR($L203="",N($N203)=0),"",($L203-N($M203))/$N203)</f>
        <v/>
      </c>
      <c r="W203" s="15">
        <f>IF(OR($L203="",$E203=""),"",MIN($L203,N($M203)+N($V203)*MIN(N($N203),MAX(0,((YEAR('Settings'!$B$6)-YEAR($E203))*12+MONTH('Settings'!$B$6)-MONTH($E203)-IF(DAY('Settings'!$B$6)&lt;DAY($E203),1,0))))))</f>
        <v/>
      </c>
      <c r="X203" s="15">
        <f>IF($L203="","",$L203-N($O203))</f>
        <v/>
      </c>
      <c r="Y203" s="15">
        <f>IF($W203="","",MAX(0,$W203-N($O203)))</f>
        <v/>
      </c>
      <c r="Z203" s="9">
        <f>IF(OR($A203="",$L203=""),"",IF($X203&lt;=0,"Paid in full",IF($Y203&lt;1,"On track",IF($Y203&lt;=$V203,"1 instalment behind","Behind"))))</f>
        <v/>
      </c>
      <c r="AA203" s="18">
        <f>IF($U203="Overdue",COUNTIF($U$3:$U203,"Overdue"),"")</f>
        <v/>
      </c>
    </row>
    <row r="204">
      <c r="A204" s="4" t="n"/>
      <c r="B204" s="4" t="n"/>
      <c r="C204" s="4" t="n"/>
      <c r="D204" s="4" t="n"/>
      <c r="E204" s="5" t="n"/>
      <c r="F204" s="6" t="n"/>
      <c r="G204" s="6" t="n"/>
      <c r="H204" s="5" t="n"/>
      <c r="I204" s="5" t="n"/>
      <c r="J204" s="6" t="n"/>
      <c r="K204" s="6" t="n"/>
      <c r="L204" s="14" t="n"/>
      <c r="M204" s="14" t="n"/>
      <c r="N204" s="6" t="n"/>
      <c r="O204" s="14" t="n"/>
      <c r="P204" s="4" t="n"/>
      <c r="Q204" s="15">
        <f>IF($E204="","",ROUND(('Settings'!$B$6-$E204)/30.4375,1))</f>
        <v/>
      </c>
      <c r="R204" s="16">
        <f>IF(OR($E204="",N($F204)=0),"",$Q204/$F204)</f>
        <v/>
      </c>
      <c r="S204" s="16">
        <f>IF(N($K204)=0,"",N($J204)/$K204)</f>
        <v/>
      </c>
      <c r="T204" s="17">
        <f>IF(OR($H204="",$G204=""),"",$H204+$G204*7)</f>
        <v/>
      </c>
      <c r="U204" s="9">
        <f>IF(OR($A204="",NOT(OR($P204="Active",$P204="Retention"))),"",IF(AND($I204&lt;&gt;"",$I204&gt;='Settings'!$B$6),"Booked",IF($T204="","",IF('Settings'!$B$6&gt;$T204+'Settings'!$B$7,"Overdue",IF($T204&lt;='Settings'!$B$6+7,"Due this week","On schedule")))))</f>
        <v/>
      </c>
      <c r="V204" s="15">
        <f>IF(OR($L204="",N($N204)=0),"",($L204-N($M204))/$N204)</f>
        <v/>
      </c>
      <c r="W204" s="15">
        <f>IF(OR($L204="",$E204=""),"",MIN($L204,N($M204)+N($V204)*MIN(N($N204),MAX(0,((YEAR('Settings'!$B$6)-YEAR($E204))*12+MONTH('Settings'!$B$6)-MONTH($E204)-IF(DAY('Settings'!$B$6)&lt;DAY($E204),1,0))))))</f>
        <v/>
      </c>
      <c r="X204" s="15">
        <f>IF($L204="","",$L204-N($O204))</f>
        <v/>
      </c>
      <c r="Y204" s="15">
        <f>IF($W204="","",MAX(0,$W204-N($O204)))</f>
        <v/>
      </c>
      <c r="Z204" s="9">
        <f>IF(OR($A204="",$L204=""),"",IF($X204&lt;=0,"Paid in full",IF($Y204&lt;1,"On track",IF($Y204&lt;=$V204,"1 instalment behind","Behind"))))</f>
        <v/>
      </c>
      <c r="AA204" s="18">
        <f>IF($U204="Overdue",COUNTIF($U$3:$U204,"Overdue"),"")</f>
        <v/>
      </c>
    </row>
    <row r="205">
      <c r="A205" s="4" t="n"/>
      <c r="B205" s="4" t="n"/>
      <c r="C205" s="4" t="n"/>
      <c r="D205" s="4" t="n"/>
      <c r="E205" s="5" t="n"/>
      <c r="F205" s="6" t="n"/>
      <c r="G205" s="6" t="n"/>
      <c r="H205" s="5" t="n"/>
      <c r="I205" s="5" t="n"/>
      <c r="J205" s="6" t="n"/>
      <c r="K205" s="6" t="n"/>
      <c r="L205" s="14" t="n"/>
      <c r="M205" s="14" t="n"/>
      <c r="N205" s="6" t="n"/>
      <c r="O205" s="14" t="n"/>
      <c r="P205" s="4" t="n"/>
      <c r="Q205" s="15">
        <f>IF($E205="","",ROUND(('Settings'!$B$6-$E205)/30.4375,1))</f>
        <v/>
      </c>
      <c r="R205" s="16">
        <f>IF(OR($E205="",N($F205)=0),"",$Q205/$F205)</f>
        <v/>
      </c>
      <c r="S205" s="16">
        <f>IF(N($K205)=0,"",N($J205)/$K205)</f>
        <v/>
      </c>
      <c r="T205" s="17">
        <f>IF(OR($H205="",$G205=""),"",$H205+$G205*7)</f>
        <v/>
      </c>
      <c r="U205" s="9">
        <f>IF(OR($A205="",NOT(OR($P205="Active",$P205="Retention"))),"",IF(AND($I205&lt;&gt;"",$I205&gt;='Settings'!$B$6),"Booked",IF($T205="","",IF('Settings'!$B$6&gt;$T205+'Settings'!$B$7,"Overdue",IF($T205&lt;='Settings'!$B$6+7,"Due this week","On schedule")))))</f>
        <v/>
      </c>
      <c r="V205" s="15">
        <f>IF(OR($L205="",N($N205)=0),"",($L205-N($M205))/$N205)</f>
        <v/>
      </c>
      <c r="W205" s="15">
        <f>IF(OR($L205="",$E205=""),"",MIN($L205,N($M205)+N($V205)*MIN(N($N205),MAX(0,((YEAR('Settings'!$B$6)-YEAR($E205))*12+MONTH('Settings'!$B$6)-MONTH($E205)-IF(DAY('Settings'!$B$6)&lt;DAY($E205),1,0))))))</f>
        <v/>
      </c>
      <c r="X205" s="15">
        <f>IF($L205="","",$L205-N($O205))</f>
        <v/>
      </c>
      <c r="Y205" s="15">
        <f>IF($W205="","",MAX(0,$W205-N($O205)))</f>
        <v/>
      </c>
      <c r="Z205" s="9">
        <f>IF(OR($A205="",$L205=""),"",IF($X205&lt;=0,"Paid in full",IF($Y205&lt;1,"On track",IF($Y205&lt;=$V205,"1 instalment behind","Behind"))))</f>
        <v/>
      </c>
      <c r="AA205" s="18">
        <f>IF($U205="Overdue",COUNTIF($U$3:$U205,"Overdue"),"")</f>
        <v/>
      </c>
    </row>
    <row r="206">
      <c r="A206" s="4" t="n"/>
      <c r="B206" s="4" t="n"/>
      <c r="C206" s="4" t="n"/>
      <c r="D206" s="4" t="n"/>
      <c r="E206" s="5" t="n"/>
      <c r="F206" s="6" t="n"/>
      <c r="G206" s="6" t="n"/>
      <c r="H206" s="5" t="n"/>
      <c r="I206" s="5" t="n"/>
      <c r="J206" s="6" t="n"/>
      <c r="K206" s="6" t="n"/>
      <c r="L206" s="14" t="n"/>
      <c r="M206" s="14" t="n"/>
      <c r="N206" s="6" t="n"/>
      <c r="O206" s="14" t="n"/>
      <c r="P206" s="4" t="n"/>
      <c r="Q206" s="15">
        <f>IF($E206="","",ROUND(('Settings'!$B$6-$E206)/30.4375,1))</f>
        <v/>
      </c>
      <c r="R206" s="16">
        <f>IF(OR($E206="",N($F206)=0),"",$Q206/$F206)</f>
        <v/>
      </c>
      <c r="S206" s="16">
        <f>IF(N($K206)=0,"",N($J206)/$K206)</f>
        <v/>
      </c>
      <c r="T206" s="17">
        <f>IF(OR($H206="",$G206=""),"",$H206+$G206*7)</f>
        <v/>
      </c>
      <c r="U206" s="9">
        <f>IF(OR($A206="",NOT(OR($P206="Active",$P206="Retention"))),"",IF(AND($I206&lt;&gt;"",$I206&gt;='Settings'!$B$6),"Booked",IF($T206="","",IF('Settings'!$B$6&gt;$T206+'Settings'!$B$7,"Overdue",IF($T206&lt;='Settings'!$B$6+7,"Due this week","On schedule")))))</f>
        <v/>
      </c>
      <c r="V206" s="15">
        <f>IF(OR($L206="",N($N206)=0),"",($L206-N($M206))/$N206)</f>
        <v/>
      </c>
      <c r="W206" s="15">
        <f>IF(OR($L206="",$E206=""),"",MIN($L206,N($M206)+N($V206)*MIN(N($N206),MAX(0,((YEAR('Settings'!$B$6)-YEAR($E206))*12+MONTH('Settings'!$B$6)-MONTH($E206)-IF(DAY('Settings'!$B$6)&lt;DAY($E206),1,0))))))</f>
        <v/>
      </c>
      <c r="X206" s="15">
        <f>IF($L206="","",$L206-N($O206))</f>
        <v/>
      </c>
      <c r="Y206" s="15">
        <f>IF($W206="","",MAX(0,$W206-N($O206)))</f>
        <v/>
      </c>
      <c r="Z206" s="9">
        <f>IF(OR($A206="",$L206=""),"",IF($X206&lt;=0,"Paid in full",IF($Y206&lt;1,"On track",IF($Y206&lt;=$V206,"1 instalment behind","Behind"))))</f>
        <v/>
      </c>
      <c r="AA206" s="18">
        <f>IF($U206="Overdue",COUNTIF($U$3:$U206,"Overdue"),"")</f>
        <v/>
      </c>
    </row>
    <row r="207">
      <c r="A207" s="4" t="n"/>
      <c r="B207" s="4" t="n"/>
      <c r="C207" s="4" t="n"/>
      <c r="D207" s="4" t="n"/>
      <c r="E207" s="5" t="n"/>
      <c r="F207" s="6" t="n"/>
      <c r="G207" s="6" t="n"/>
      <c r="H207" s="5" t="n"/>
      <c r="I207" s="5" t="n"/>
      <c r="J207" s="6" t="n"/>
      <c r="K207" s="6" t="n"/>
      <c r="L207" s="14" t="n"/>
      <c r="M207" s="14" t="n"/>
      <c r="N207" s="6" t="n"/>
      <c r="O207" s="14" t="n"/>
      <c r="P207" s="4" t="n"/>
      <c r="Q207" s="15">
        <f>IF($E207="","",ROUND(('Settings'!$B$6-$E207)/30.4375,1))</f>
        <v/>
      </c>
      <c r="R207" s="16">
        <f>IF(OR($E207="",N($F207)=0),"",$Q207/$F207)</f>
        <v/>
      </c>
      <c r="S207" s="16">
        <f>IF(N($K207)=0,"",N($J207)/$K207)</f>
        <v/>
      </c>
      <c r="T207" s="17">
        <f>IF(OR($H207="",$G207=""),"",$H207+$G207*7)</f>
        <v/>
      </c>
      <c r="U207" s="9">
        <f>IF(OR($A207="",NOT(OR($P207="Active",$P207="Retention"))),"",IF(AND($I207&lt;&gt;"",$I207&gt;='Settings'!$B$6),"Booked",IF($T207="","",IF('Settings'!$B$6&gt;$T207+'Settings'!$B$7,"Overdue",IF($T207&lt;='Settings'!$B$6+7,"Due this week","On schedule")))))</f>
        <v/>
      </c>
      <c r="V207" s="15">
        <f>IF(OR($L207="",N($N207)=0),"",($L207-N($M207))/$N207)</f>
        <v/>
      </c>
      <c r="W207" s="15">
        <f>IF(OR($L207="",$E207=""),"",MIN($L207,N($M207)+N($V207)*MIN(N($N207),MAX(0,((YEAR('Settings'!$B$6)-YEAR($E207))*12+MONTH('Settings'!$B$6)-MONTH($E207)-IF(DAY('Settings'!$B$6)&lt;DAY($E207),1,0))))))</f>
        <v/>
      </c>
      <c r="X207" s="15">
        <f>IF($L207="","",$L207-N($O207))</f>
        <v/>
      </c>
      <c r="Y207" s="15">
        <f>IF($W207="","",MAX(0,$W207-N($O207)))</f>
        <v/>
      </c>
      <c r="Z207" s="9">
        <f>IF(OR($A207="",$L207=""),"",IF($X207&lt;=0,"Paid in full",IF($Y207&lt;1,"On track",IF($Y207&lt;=$V207,"1 instalment behind","Behind"))))</f>
        <v/>
      </c>
      <c r="AA207" s="18">
        <f>IF($U207="Overdue",COUNTIF($U$3:$U207,"Overdue"),"")</f>
        <v/>
      </c>
    </row>
    <row r="208">
      <c r="A208" s="4" t="n"/>
      <c r="B208" s="4" t="n"/>
      <c r="C208" s="4" t="n"/>
      <c r="D208" s="4" t="n"/>
      <c r="E208" s="5" t="n"/>
      <c r="F208" s="6" t="n"/>
      <c r="G208" s="6" t="n"/>
      <c r="H208" s="5" t="n"/>
      <c r="I208" s="5" t="n"/>
      <c r="J208" s="6" t="n"/>
      <c r="K208" s="6" t="n"/>
      <c r="L208" s="14" t="n"/>
      <c r="M208" s="14" t="n"/>
      <c r="N208" s="6" t="n"/>
      <c r="O208" s="14" t="n"/>
      <c r="P208" s="4" t="n"/>
      <c r="Q208" s="15">
        <f>IF($E208="","",ROUND(('Settings'!$B$6-$E208)/30.4375,1))</f>
        <v/>
      </c>
      <c r="R208" s="16">
        <f>IF(OR($E208="",N($F208)=0),"",$Q208/$F208)</f>
        <v/>
      </c>
      <c r="S208" s="16">
        <f>IF(N($K208)=0,"",N($J208)/$K208)</f>
        <v/>
      </c>
      <c r="T208" s="17">
        <f>IF(OR($H208="",$G208=""),"",$H208+$G208*7)</f>
        <v/>
      </c>
      <c r="U208" s="9">
        <f>IF(OR($A208="",NOT(OR($P208="Active",$P208="Retention"))),"",IF(AND($I208&lt;&gt;"",$I208&gt;='Settings'!$B$6),"Booked",IF($T208="","",IF('Settings'!$B$6&gt;$T208+'Settings'!$B$7,"Overdue",IF($T208&lt;='Settings'!$B$6+7,"Due this week","On schedule")))))</f>
        <v/>
      </c>
      <c r="V208" s="15">
        <f>IF(OR($L208="",N($N208)=0),"",($L208-N($M208))/$N208)</f>
        <v/>
      </c>
      <c r="W208" s="15">
        <f>IF(OR($L208="",$E208=""),"",MIN($L208,N($M208)+N($V208)*MIN(N($N208),MAX(0,((YEAR('Settings'!$B$6)-YEAR($E208))*12+MONTH('Settings'!$B$6)-MONTH($E208)-IF(DAY('Settings'!$B$6)&lt;DAY($E208),1,0))))))</f>
        <v/>
      </c>
      <c r="X208" s="15">
        <f>IF($L208="","",$L208-N($O208))</f>
        <v/>
      </c>
      <c r="Y208" s="15">
        <f>IF($W208="","",MAX(0,$W208-N($O208)))</f>
        <v/>
      </c>
      <c r="Z208" s="9">
        <f>IF(OR($A208="",$L208=""),"",IF($X208&lt;=0,"Paid in full",IF($Y208&lt;1,"On track",IF($Y208&lt;=$V208,"1 instalment behind","Behind"))))</f>
        <v/>
      </c>
      <c r="AA208" s="18">
        <f>IF($U208="Overdue",COUNTIF($U$3:$U208,"Overdue"),"")</f>
        <v/>
      </c>
    </row>
    <row r="209">
      <c r="A209" s="4" t="n"/>
      <c r="B209" s="4" t="n"/>
      <c r="C209" s="4" t="n"/>
      <c r="D209" s="4" t="n"/>
      <c r="E209" s="5" t="n"/>
      <c r="F209" s="6" t="n"/>
      <c r="G209" s="6" t="n"/>
      <c r="H209" s="5" t="n"/>
      <c r="I209" s="5" t="n"/>
      <c r="J209" s="6" t="n"/>
      <c r="K209" s="6" t="n"/>
      <c r="L209" s="14" t="n"/>
      <c r="M209" s="14" t="n"/>
      <c r="N209" s="6" t="n"/>
      <c r="O209" s="14" t="n"/>
      <c r="P209" s="4" t="n"/>
      <c r="Q209" s="15">
        <f>IF($E209="","",ROUND(('Settings'!$B$6-$E209)/30.4375,1))</f>
        <v/>
      </c>
      <c r="R209" s="16">
        <f>IF(OR($E209="",N($F209)=0),"",$Q209/$F209)</f>
        <v/>
      </c>
      <c r="S209" s="16">
        <f>IF(N($K209)=0,"",N($J209)/$K209)</f>
        <v/>
      </c>
      <c r="T209" s="17">
        <f>IF(OR($H209="",$G209=""),"",$H209+$G209*7)</f>
        <v/>
      </c>
      <c r="U209" s="9">
        <f>IF(OR($A209="",NOT(OR($P209="Active",$P209="Retention"))),"",IF(AND($I209&lt;&gt;"",$I209&gt;='Settings'!$B$6),"Booked",IF($T209="","",IF('Settings'!$B$6&gt;$T209+'Settings'!$B$7,"Overdue",IF($T209&lt;='Settings'!$B$6+7,"Due this week","On schedule")))))</f>
        <v/>
      </c>
      <c r="V209" s="15">
        <f>IF(OR($L209="",N($N209)=0),"",($L209-N($M209))/$N209)</f>
        <v/>
      </c>
      <c r="W209" s="15">
        <f>IF(OR($L209="",$E209=""),"",MIN($L209,N($M209)+N($V209)*MIN(N($N209),MAX(0,((YEAR('Settings'!$B$6)-YEAR($E209))*12+MONTH('Settings'!$B$6)-MONTH($E209)-IF(DAY('Settings'!$B$6)&lt;DAY($E209),1,0))))))</f>
        <v/>
      </c>
      <c r="X209" s="15">
        <f>IF($L209="","",$L209-N($O209))</f>
        <v/>
      </c>
      <c r="Y209" s="15">
        <f>IF($W209="","",MAX(0,$W209-N($O209)))</f>
        <v/>
      </c>
      <c r="Z209" s="9">
        <f>IF(OR($A209="",$L209=""),"",IF($X209&lt;=0,"Paid in full",IF($Y209&lt;1,"On track",IF($Y209&lt;=$V209,"1 instalment behind","Behind"))))</f>
        <v/>
      </c>
      <c r="AA209" s="18">
        <f>IF($U209="Overdue",COUNTIF($U$3:$U209,"Overdue"),"")</f>
        <v/>
      </c>
    </row>
    <row r="210">
      <c r="A210" s="4" t="n"/>
      <c r="B210" s="4" t="n"/>
      <c r="C210" s="4" t="n"/>
      <c r="D210" s="4" t="n"/>
      <c r="E210" s="5" t="n"/>
      <c r="F210" s="6" t="n"/>
      <c r="G210" s="6" t="n"/>
      <c r="H210" s="5" t="n"/>
      <c r="I210" s="5" t="n"/>
      <c r="J210" s="6" t="n"/>
      <c r="K210" s="6" t="n"/>
      <c r="L210" s="14" t="n"/>
      <c r="M210" s="14" t="n"/>
      <c r="N210" s="6" t="n"/>
      <c r="O210" s="14" t="n"/>
      <c r="P210" s="4" t="n"/>
      <c r="Q210" s="15">
        <f>IF($E210="","",ROUND(('Settings'!$B$6-$E210)/30.4375,1))</f>
        <v/>
      </c>
      <c r="R210" s="16">
        <f>IF(OR($E210="",N($F210)=0),"",$Q210/$F210)</f>
        <v/>
      </c>
      <c r="S210" s="16">
        <f>IF(N($K210)=0,"",N($J210)/$K210)</f>
        <v/>
      </c>
      <c r="T210" s="17">
        <f>IF(OR($H210="",$G210=""),"",$H210+$G210*7)</f>
        <v/>
      </c>
      <c r="U210" s="9">
        <f>IF(OR($A210="",NOT(OR($P210="Active",$P210="Retention"))),"",IF(AND($I210&lt;&gt;"",$I210&gt;='Settings'!$B$6),"Booked",IF($T210="","",IF('Settings'!$B$6&gt;$T210+'Settings'!$B$7,"Overdue",IF($T210&lt;='Settings'!$B$6+7,"Due this week","On schedule")))))</f>
        <v/>
      </c>
      <c r="V210" s="15">
        <f>IF(OR($L210="",N($N210)=0),"",($L210-N($M210))/$N210)</f>
        <v/>
      </c>
      <c r="W210" s="15">
        <f>IF(OR($L210="",$E210=""),"",MIN($L210,N($M210)+N($V210)*MIN(N($N210),MAX(0,((YEAR('Settings'!$B$6)-YEAR($E210))*12+MONTH('Settings'!$B$6)-MONTH($E210)-IF(DAY('Settings'!$B$6)&lt;DAY($E210),1,0))))))</f>
        <v/>
      </c>
      <c r="X210" s="15">
        <f>IF($L210="","",$L210-N($O210))</f>
        <v/>
      </c>
      <c r="Y210" s="15">
        <f>IF($W210="","",MAX(0,$W210-N($O210)))</f>
        <v/>
      </c>
      <c r="Z210" s="9">
        <f>IF(OR($A210="",$L210=""),"",IF($X210&lt;=0,"Paid in full",IF($Y210&lt;1,"On track",IF($Y210&lt;=$V210,"1 instalment behind","Behind"))))</f>
        <v/>
      </c>
      <c r="AA210" s="18">
        <f>IF($U210="Overdue",COUNTIF($U$3:$U210,"Overdue"),"")</f>
        <v/>
      </c>
    </row>
    <row r="211">
      <c r="A211" s="4" t="n"/>
      <c r="B211" s="4" t="n"/>
      <c r="C211" s="4" t="n"/>
      <c r="D211" s="4" t="n"/>
      <c r="E211" s="5" t="n"/>
      <c r="F211" s="6" t="n"/>
      <c r="G211" s="6" t="n"/>
      <c r="H211" s="5" t="n"/>
      <c r="I211" s="5" t="n"/>
      <c r="J211" s="6" t="n"/>
      <c r="K211" s="6" t="n"/>
      <c r="L211" s="14" t="n"/>
      <c r="M211" s="14" t="n"/>
      <c r="N211" s="6" t="n"/>
      <c r="O211" s="14" t="n"/>
      <c r="P211" s="4" t="n"/>
      <c r="Q211" s="15">
        <f>IF($E211="","",ROUND(('Settings'!$B$6-$E211)/30.4375,1))</f>
        <v/>
      </c>
      <c r="R211" s="16">
        <f>IF(OR($E211="",N($F211)=0),"",$Q211/$F211)</f>
        <v/>
      </c>
      <c r="S211" s="16">
        <f>IF(N($K211)=0,"",N($J211)/$K211)</f>
        <v/>
      </c>
      <c r="T211" s="17">
        <f>IF(OR($H211="",$G211=""),"",$H211+$G211*7)</f>
        <v/>
      </c>
      <c r="U211" s="9">
        <f>IF(OR($A211="",NOT(OR($P211="Active",$P211="Retention"))),"",IF(AND($I211&lt;&gt;"",$I211&gt;='Settings'!$B$6),"Booked",IF($T211="","",IF('Settings'!$B$6&gt;$T211+'Settings'!$B$7,"Overdue",IF($T211&lt;='Settings'!$B$6+7,"Due this week","On schedule")))))</f>
        <v/>
      </c>
      <c r="V211" s="15">
        <f>IF(OR($L211="",N($N211)=0),"",($L211-N($M211))/$N211)</f>
        <v/>
      </c>
      <c r="W211" s="15">
        <f>IF(OR($L211="",$E211=""),"",MIN($L211,N($M211)+N($V211)*MIN(N($N211),MAX(0,((YEAR('Settings'!$B$6)-YEAR($E211))*12+MONTH('Settings'!$B$6)-MONTH($E211)-IF(DAY('Settings'!$B$6)&lt;DAY($E211),1,0))))))</f>
        <v/>
      </c>
      <c r="X211" s="15">
        <f>IF($L211="","",$L211-N($O211))</f>
        <v/>
      </c>
      <c r="Y211" s="15">
        <f>IF($W211="","",MAX(0,$W211-N($O211)))</f>
        <v/>
      </c>
      <c r="Z211" s="9">
        <f>IF(OR($A211="",$L211=""),"",IF($X211&lt;=0,"Paid in full",IF($Y211&lt;1,"On track",IF($Y211&lt;=$V211,"1 instalment behind","Behind"))))</f>
        <v/>
      </c>
      <c r="AA211" s="18">
        <f>IF($U211="Overdue",COUNTIF($U$3:$U211,"Overdue"),"")</f>
        <v/>
      </c>
    </row>
    <row r="212">
      <c r="A212" s="4" t="n"/>
      <c r="B212" s="4" t="n"/>
      <c r="C212" s="4" t="n"/>
      <c r="D212" s="4" t="n"/>
      <c r="E212" s="5" t="n"/>
      <c r="F212" s="6" t="n"/>
      <c r="G212" s="6" t="n"/>
      <c r="H212" s="5" t="n"/>
      <c r="I212" s="5" t="n"/>
      <c r="J212" s="6" t="n"/>
      <c r="K212" s="6" t="n"/>
      <c r="L212" s="14" t="n"/>
      <c r="M212" s="14" t="n"/>
      <c r="N212" s="6" t="n"/>
      <c r="O212" s="14" t="n"/>
      <c r="P212" s="4" t="n"/>
      <c r="Q212" s="15">
        <f>IF($E212="","",ROUND(('Settings'!$B$6-$E212)/30.4375,1))</f>
        <v/>
      </c>
      <c r="R212" s="16">
        <f>IF(OR($E212="",N($F212)=0),"",$Q212/$F212)</f>
        <v/>
      </c>
      <c r="S212" s="16">
        <f>IF(N($K212)=0,"",N($J212)/$K212)</f>
        <v/>
      </c>
      <c r="T212" s="17">
        <f>IF(OR($H212="",$G212=""),"",$H212+$G212*7)</f>
        <v/>
      </c>
      <c r="U212" s="9">
        <f>IF(OR($A212="",NOT(OR($P212="Active",$P212="Retention"))),"",IF(AND($I212&lt;&gt;"",$I212&gt;='Settings'!$B$6),"Booked",IF($T212="","",IF('Settings'!$B$6&gt;$T212+'Settings'!$B$7,"Overdue",IF($T212&lt;='Settings'!$B$6+7,"Due this week","On schedule")))))</f>
        <v/>
      </c>
      <c r="V212" s="15">
        <f>IF(OR($L212="",N($N212)=0),"",($L212-N($M212))/$N212)</f>
        <v/>
      </c>
      <c r="W212" s="15">
        <f>IF(OR($L212="",$E212=""),"",MIN($L212,N($M212)+N($V212)*MIN(N($N212),MAX(0,((YEAR('Settings'!$B$6)-YEAR($E212))*12+MONTH('Settings'!$B$6)-MONTH($E212)-IF(DAY('Settings'!$B$6)&lt;DAY($E212),1,0))))))</f>
        <v/>
      </c>
      <c r="X212" s="15">
        <f>IF($L212="","",$L212-N($O212))</f>
        <v/>
      </c>
      <c r="Y212" s="15">
        <f>IF($W212="","",MAX(0,$W212-N($O212)))</f>
        <v/>
      </c>
      <c r="Z212" s="9">
        <f>IF(OR($A212="",$L212=""),"",IF($X212&lt;=0,"Paid in full",IF($Y212&lt;1,"On track",IF($Y212&lt;=$V212,"1 instalment behind","Behind"))))</f>
        <v/>
      </c>
      <c r="AA212" s="18">
        <f>IF($U212="Overdue",COUNTIF($U$3:$U212,"Overdue"),"")</f>
        <v/>
      </c>
    </row>
    <row r="213">
      <c r="A213" s="4" t="n"/>
      <c r="B213" s="4" t="n"/>
      <c r="C213" s="4" t="n"/>
      <c r="D213" s="4" t="n"/>
      <c r="E213" s="5" t="n"/>
      <c r="F213" s="6" t="n"/>
      <c r="G213" s="6" t="n"/>
      <c r="H213" s="5" t="n"/>
      <c r="I213" s="5" t="n"/>
      <c r="J213" s="6" t="n"/>
      <c r="K213" s="6" t="n"/>
      <c r="L213" s="14" t="n"/>
      <c r="M213" s="14" t="n"/>
      <c r="N213" s="6" t="n"/>
      <c r="O213" s="14" t="n"/>
      <c r="P213" s="4" t="n"/>
      <c r="Q213" s="15">
        <f>IF($E213="","",ROUND(('Settings'!$B$6-$E213)/30.4375,1))</f>
        <v/>
      </c>
      <c r="R213" s="16">
        <f>IF(OR($E213="",N($F213)=0),"",$Q213/$F213)</f>
        <v/>
      </c>
      <c r="S213" s="16">
        <f>IF(N($K213)=0,"",N($J213)/$K213)</f>
        <v/>
      </c>
      <c r="T213" s="17">
        <f>IF(OR($H213="",$G213=""),"",$H213+$G213*7)</f>
        <v/>
      </c>
      <c r="U213" s="9">
        <f>IF(OR($A213="",NOT(OR($P213="Active",$P213="Retention"))),"",IF(AND($I213&lt;&gt;"",$I213&gt;='Settings'!$B$6),"Booked",IF($T213="","",IF('Settings'!$B$6&gt;$T213+'Settings'!$B$7,"Overdue",IF($T213&lt;='Settings'!$B$6+7,"Due this week","On schedule")))))</f>
        <v/>
      </c>
      <c r="V213" s="15">
        <f>IF(OR($L213="",N($N213)=0),"",($L213-N($M213))/$N213)</f>
        <v/>
      </c>
      <c r="W213" s="15">
        <f>IF(OR($L213="",$E213=""),"",MIN($L213,N($M213)+N($V213)*MIN(N($N213),MAX(0,((YEAR('Settings'!$B$6)-YEAR($E213))*12+MONTH('Settings'!$B$6)-MONTH($E213)-IF(DAY('Settings'!$B$6)&lt;DAY($E213),1,0))))))</f>
        <v/>
      </c>
      <c r="X213" s="15">
        <f>IF($L213="","",$L213-N($O213))</f>
        <v/>
      </c>
      <c r="Y213" s="15">
        <f>IF($W213="","",MAX(0,$W213-N($O213)))</f>
        <v/>
      </c>
      <c r="Z213" s="9">
        <f>IF(OR($A213="",$L213=""),"",IF($X213&lt;=0,"Paid in full",IF($Y213&lt;1,"On track",IF($Y213&lt;=$V213,"1 instalment behind","Behind"))))</f>
        <v/>
      </c>
      <c r="AA213" s="18">
        <f>IF($U213="Overdue",COUNTIF($U$3:$U213,"Overdue"),"")</f>
        <v/>
      </c>
    </row>
    <row r="214">
      <c r="A214" s="4" t="n"/>
      <c r="B214" s="4" t="n"/>
      <c r="C214" s="4" t="n"/>
      <c r="D214" s="4" t="n"/>
      <c r="E214" s="5" t="n"/>
      <c r="F214" s="6" t="n"/>
      <c r="G214" s="6" t="n"/>
      <c r="H214" s="5" t="n"/>
      <c r="I214" s="5" t="n"/>
      <c r="J214" s="6" t="n"/>
      <c r="K214" s="6" t="n"/>
      <c r="L214" s="14" t="n"/>
      <c r="M214" s="14" t="n"/>
      <c r="N214" s="6" t="n"/>
      <c r="O214" s="14" t="n"/>
      <c r="P214" s="4" t="n"/>
      <c r="Q214" s="15">
        <f>IF($E214="","",ROUND(('Settings'!$B$6-$E214)/30.4375,1))</f>
        <v/>
      </c>
      <c r="R214" s="16">
        <f>IF(OR($E214="",N($F214)=0),"",$Q214/$F214)</f>
        <v/>
      </c>
      <c r="S214" s="16">
        <f>IF(N($K214)=0,"",N($J214)/$K214)</f>
        <v/>
      </c>
      <c r="T214" s="17">
        <f>IF(OR($H214="",$G214=""),"",$H214+$G214*7)</f>
        <v/>
      </c>
      <c r="U214" s="9">
        <f>IF(OR($A214="",NOT(OR($P214="Active",$P214="Retention"))),"",IF(AND($I214&lt;&gt;"",$I214&gt;='Settings'!$B$6),"Booked",IF($T214="","",IF('Settings'!$B$6&gt;$T214+'Settings'!$B$7,"Overdue",IF($T214&lt;='Settings'!$B$6+7,"Due this week","On schedule")))))</f>
        <v/>
      </c>
      <c r="V214" s="15">
        <f>IF(OR($L214="",N($N214)=0),"",($L214-N($M214))/$N214)</f>
        <v/>
      </c>
      <c r="W214" s="15">
        <f>IF(OR($L214="",$E214=""),"",MIN($L214,N($M214)+N($V214)*MIN(N($N214),MAX(0,((YEAR('Settings'!$B$6)-YEAR($E214))*12+MONTH('Settings'!$B$6)-MONTH($E214)-IF(DAY('Settings'!$B$6)&lt;DAY($E214),1,0))))))</f>
        <v/>
      </c>
      <c r="X214" s="15">
        <f>IF($L214="","",$L214-N($O214))</f>
        <v/>
      </c>
      <c r="Y214" s="15">
        <f>IF($W214="","",MAX(0,$W214-N($O214)))</f>
        <v/>
      </c>
      <c r="Z214" s="9">
        <f>IF(OR($A214="",$L214=""),"",IF($X214&lt;=0,"Paid in full",IF($Y214&lt;1,"On track",IF($Y214&lt;=$V214,"1 instalment behind","Behind"))))</f>
        <v/>
      </c>
      <c r="AA214" s="18">
        <f>IF($U214="Overdue",COUNTIF($U$3:$U214,"Overdue"),"")</f>
        <v/>
      </c>
    </row>
    <row r="215">
      <c r="A215" s="4" t="n"/>
      <c r="B215" s="4" t="n"/>
      <c r="C215" s="4" t="n"/>
      <c r="D215" s="4" t="n"/>
      <c r="E215" s="5" t="n"/>
      <c r="F215" s="6" t="n"/>
      <c r="G215" s="6" t="n"/>
      <c r="H215" s="5" t="n"/>
      <c r="I215" s="5" t="n"/>
      <c r="J215" s="6" t="n"/>
      <c r="K215" s="6" t="n"/>
      <c r="L215" s="14" t="n"/>
      <c r="M215" s="14" t="n"/>
      <c r="N215" s="6" t="n"/>
      <c r="O215" s="14" t="n"/>
      <c r="P215" s="4" t="n"/>
      <c r="Q215" s="15">
        <f>IF($E215="","",ROUND(('Settings'!$B$6-$E215)/30.4375,1))</f>
        <v/>
      </c>
      <c r="R215" s="16">
        <f>IF(OR($E215="",N($F215)=0),"",$Q215/$F215)</f>
        <v/>
      </c>
      <c r="S215" s="16">
        <f>IF(N($K215)=0,"",N($J215)/$K215)</f>
        <v/>
      </c>
      <c r="T215" s="17">
        <f>IF(OR($H215="",$G215=""),"",$H215+$G215*7)</f>
        <v/>
      </c>
      <c r="U215" s="9">
        <f>IF(OR($A215="",NOT(OR($P215="Active",$P215="Retention"))),"",IF(AND($I215&lt;&gt;"",$I215&gt;='Settings'!$B$6),"Booked",IF($T215="","",IF('Settings'!$B$6&gt;$T215+'Settings'!$B$7,"Overdue",IF($T215&lt;='Settings'!$B$6+7,"Due this week","On schedule")))))</f>
        <v/>
      </c>
      <c r="V215" s="15">
        <f>IF(OR($L215="",N($N215)=0),"",($L215-N($M215))/$N215)</f>
        <v/>
      </c>
      <c r="W215" s="15">
        <f>IF(OR($L215="",$E215=""),"",MIN($L215,N($M215)+N($V215)*MIN(N($N215),MAX(0,((YEAR('Settings'!$B$6)-YEAR($E215))*12+MONTH('Settings'!$B$6)-MONTH($E215)-IF(DAY('Settings'!$B$6)&lt;DAY($E215),1,0))))))</f>
        <v/>
      </c>
      <c r="X215" s="15">
        <f>IF($L215="","",$L215-N($O215))</f>
        <v/>
      </c>
      <c r="Y215" s="15">
        <f>IF($W215="","",MAX(0,$W215-N($O215)))</f>
        <v/>
      </c>
      <c r="Z215" s="9">
        <f>IF(OR($A215="",$L215=""),"",IF($X215&lt;=0,"Paid in full",IF($Y215&lt;1,"On track",IF($Y215&lt;=$V215,"1 instalment behind","Behind"))))</f>
        <v/>
      </c>
      <c r="AA215" s="18">
        <f>IF($U215="Overdue",COUNTIF($U$3:$U215,"Overdue"),"")</f>
        <v/>
      </c>
    </row>
    <row r="216">
      <c r="A216" s="4" t="n"/>
      <c r="B216" s="4" t="n"/>
      <c r="C216" s="4" t="n"/>
      <c r="D216" s="4" t="n"/>
      <c r="E216" s="5" t="n"/>
      <c r="F216" s="6" t="n"/>
      <c r="G216" s="6" t="n"/>
      <c r="H216" s="5" t="n"/>
      <c r="I216" s="5" t="n"/>
      <c r="J216" s="6" t="n"/>
      <c r="K216" s="6" t="n"/>
      <c r="L216" s="14" t="n"/>
      <c r="M216" s="14" t="n"/>
      <c r="N216" s="6" t="n"/>
      <c r="O216" s="14" t="n"/>
      <c r="P216" s="4" t="n"/>
      <c r="Q216" s="15">
        <f>IF($E216="","",ROUND(('Settings'!$B$6-$E216)/30.4375,1))</f>
        <v/>
      </c>
      <c r="R216" s="16">
        <f>IF(OR($E216="",N($F216)=0),"",$Q216/$F216)</f>
        <v/>
      </c>
      <c r="S216" s="16">
        <f>IF(N($K216)=0,"",N($J216)/$K216)</f>
        <v/>
      </c>
      <c r="T216" s="17">
        <f>IF(OR($H216="",$G216=""),"",$H216+$G216*7)</f>
        <v/>
      </c>
      <c r="U216" s="9">
        <f>IF(OR($A216="",NOT(OR($P216="Active",$P216="Retention"))),"",IF(AND($I216&lt;&gt;"",$I216&gt;='Settings'!$B$6),"Booked",IF($T216="","",IF('Settings'!$B$6&gt;$T216+'Settings'!$B$7,"Overdue",IF($T216&lt;='Settings'!$B$6+7,"Due this week","On schedule")))))</f>
        <v/>
      </c>
      <c r="V216" s="15">
        <f>IF(OR($L216="",N($N216)=0),"",($L216-N($M216))/$N216)</f>
        <v/>
      </c>
      <c r="W216" s="15">
        <f>IF(OR($L216="",$E216=""),"",MIN($L216,N($M216)+N($V216)*MIN(N($N216),MAX(0,((YEAR('Settings'!$B$6)-YEAR($E216))*12+MONTH('Settings'!$B$6)-MONTH($E216)-IF(DAY('Settings'!$B$6)&lt;DAY($E216),1,0))))))</f>
        <v/>
      </c>
      <c r="X216" s="15">
        <f>IF($L216="","",$L216-N($O216))</f>
        <v/>
      </c>
      <c r="Y216" s="15">
        <f>IF($W216="","",MAX(0,$W216-N($O216)))</f>
        <v/>
      </c>
      <c r="Z216" s="9">
        <f>IF(OR($A216="",$L216=""),"",IF($X216&lt;=0,"Paid in full",IF($Y216&lt;1,"On track",IF($Y216&lt;=$V216,"1 instalment behind","Behind"))))</f>
        <v/>
      </c>
      <c r="AA216" s="18">
        <f>IF($U216="Overdue",COUNTIF($U$3:$U216,"Overdue"),"")</f>
        <v/>
      </c>
    </row>
    <row r="217">
      <c r="A217" s="4" t="n"/>
      <c r="B217" s="4" t="n"/>
      <c r="C217" s="4" t="n"/>
      <c r="D217" s="4" t="n"/>
      <c r="E217" s="5" t="n"/>
      <c r="F217" s="6" t="n"/>
      <c r="G217" s="6" t="n"/>
      <c r="H217" s="5" t="n"/>
      <c r="I217" s="5" t="n"/>
      <c r="J217" s="6" t="n"/>
      <c r="K217" s="6" t="n"/>
      <c r="L217" s="14" t="n"/>
      <c r="M217" s="14" t="n"/>
      <c r="N217" s="6" t="n"/>
      <c r="O217" s="14" t="n"/>
      <c r="P217" s="4" t="n"/>
      <c r="Q217" s="15">
        <f>IF($E217="","",ROUND(('Settings'!$B$6-$E217)/30.4375,1))</f>
        <v/>
      </c>
      <c r="R217" s="16">
        <f>IF(OR($E217="",N($F217)=0),"",$Q217/$F217)</f>
        <v/>
      </c>
      <c r="S217" s="16">
        <f>IF(N($K217)=0,"",N($J217)/$K217)</f>
        <v/>
      </c>
      <c r="T217" s="17">
        <f>IF(OR($H217="",$G217=""),"",$H217+$G217*7)</f>
        <v/>
      </c>
      <c r="U217" s="9">
        <f>IF(OR($A217="",NOT(OR($P217="Active",$P217="Retention"))),"",IF(AND($I217&lt;&gt;"",$I217&gt;='Settings'!$B$6),"Booked",IF($T217="","",IF('Settings'!$B$6&gt;$T217+'Settings'!$B$7,"Overdue",IF($T217&lt;='Settings'!$B$6+7,"Due this week","On schedule")))))</f>
        <v/>
      </c>
      <c r="V217" s="15">
        <f>IF(OR($L217="",N($N217)=0),"",($L217-N($M217))/$N217)</f>
        <v/>
      </c>
      <c r="W217" s="15">
        <f>IF(OR($L217="",$E217=""),"",MIN($L217,N($M217)+N($V217)*MIN(N($N217),MAX(0,((YEAR('Settings'!$B$6)-YEAR($E217))*12+MONTH('Settings'!$B$6)-MONTH($E217)-IF(DAY('Settings'!$B$6)&lt;DAY($E217),1,0))))))</f>
        <v/>
      </c>
      <c r="X217" s="15">
        <f>IF($L217="","",$L217-N($O217))</f>
        <v/>
      </c>
      <c r="Y217" s="15">
        <f>IF($W217="","",MAX(0,$W217-N($O217)))</f>
        <v/>
      </c>
      <c r="Z217" s="9">
        <f>IF(OR($A217="",$L217=""),"",IF($X217&lt;=0,"Paid in full",IF($Y217&lt;1,"On track",IF($Y217&lt;=$V217,"1 instalment behind","Behind"))))</f>
        <v/>
      </c>
      <c r="AA217" s="18">
        <f>IF($U217="Overdue",COUNTIF($U$3:$U217,"Overdue"),"")</f>
        <v/>
      </c>
    </row>
    <row r="218">
      <c r="A218" s="4" t="n"/>
      <c r="B218" s="4" t="n"/>
      <c r="C218" s="4" t="n"/>
      <c r="D218" s="4" t="n"/>
      <c r="E218" s="5" t="n"/>
      <c r="F218" s="6" t="n"/>
      <c r="G218" s="6" t="n"/>
      <c r="H218" s="5" t="n"/>
      <c r="I218" s="5" t="n"/>
      <c r="J218" s="6" t="n"/>
      <c r="K218" s="6" t="n"/>
      <c r="L218" s="14" t="n"/>
      <c r="M218" s="14" t="n"/>
      <c r="N218" s="6" t="n"/>
      <c r="O218" s="14" t="n"/>
      <c r="P218" s="4" t="n"/>
      <c r="Q218" s="15">
        <f>IF($E218="","",ROUND(('Settings'!$B$6-$E218)/30.4375,1))</f>
        <v/>
      </c>
      <c r="R218" s="16">
        <f>IF(OR($E218="",N($F218)=0),"",$Q218/$F218)</f>
        <v/>
      </c>
      <c r="S218" s="16">
        <f>IF(N($K218)=0,"",N($J218)/$K218)</f>
        <v/>
      </c>
      <c r="T218" s="17">
        <f>IF(OR($H218="",$G218=""),"",$H218+$G218*7)</f>
        <v/>
      </c>
      <c r="U218" s="9">
        <f>IF(OR($A218="",NOT(OR($P218="Active",$P218="Retention"))),"",IF(AND($I218&lt;&gt;"",$I218&gt;='Settings'!$B$6),"Booked",IF($T218="","",IF('Settings'!$B$6&gt;$T218+'Settings'!$B$7,"Overdue",IF($T218&lt;='Settings'!$B$6+7,"Due this week","On schedule")))))</f>
        <v/>
      </c>
      <c r="V218" s="15">
        <f>IF(OR($L218="",N($N218)=0),"",($L218-N($M218))/$N218)</f>
        <v/>
      </c>
      <c r="W218" s="15">
        <f>IF(OR($L218="",$E218=""),"",MIN($L218,N($M218)+N($V218)*MIN(N($N218),MAX(0,((YEAR('Settings'!$B$6)-YEAR($E218))*12+MONTH('Settings'!$B$6)-MONTH($E218)-IF(DAY('Settings'!$B$6)&lt;DAY($E218),1,0))))))</f>
        <v/>
      </c>
      <c r="X218" s="15">
        <f>IF($L218="","",$L218-N($O218))</f>
        <v/>
      </c>
      <c r="Y218" s="15">
        <f>IF($W218="","",MAX(0,$W218-N($O218)))</f>
        <v/>
      </c>
      <c r="Z218" s="9">
        <f>IF(OR($A218="",$L218=""),"",IF($X218&lt;=0,"Paid in full",IF($Y218&lt;1,"On track",IF($Y218&lt;=$V218,"1 instalment behind","Behind"))))</f>
        <v/>
      </c>
      <c r="AA218" s="18">
        <f>IF($U218="Overdue",COUNTIF($U$3:$U218,"Overdue"),"")</f>
        <v/>
      </c>
    </row>
    <row r="219">
      <c r="A219" s="4" t="n"/>
      <c r="B219" s="4" t="n"/>
      <c r="C219" s="4" t="n"/>
      <c r="D219" s="4" t="n"/>
      <c r="E219" s="5" t="n"/>
      <c r="F219" s="6" t="n"/>
      <c r="G219" s="6" t="n"/>
      <c r="H219" s="5" t="n"/>
      <c r="I219" s="5" t="n"/>
      <c r="J219" s="6" t="n"/>
      <c r="K219" s="6" t="n"/>
      <c r="L219" s="14" t="n"/>
      <c r="M219" s="14" t="n"/>
      <c r="N219" s="6" t="n"/>
      <c r="O219" s="14" t="n"/>
      <c r="P219" s="4" t="n"/>
      <c r="Q219" s="15">
        <f>IF($E219="","",ROUND(('Settings'!$B$6-$E219)/30.4375,1))</f>
        <v/>
      </c>
      <c r="R219" s="16">
        <f>IF(OR($E219="",N($F219)=0),"",$Q219/$F219)</f>
        <v/>
      </c>
      <c r="S219" s="16">
        <f>IF(N($K219)=0,"",N($J219)/$K219)</f>
        <v/>
      </c>
      <c r="T219" s="17">
        <f>IF(OR($H219="",$G219=""),"",$H219+$G219*7)</f>
        <v/>
      </c>
      <c r="U219" s="9">
        <f>IF(OR($A219="",NOT(OR($P219="Active",$P219="Retention"))),"",IF(AND($I219&lt;&gt;"",$I219&gt;='Settings'!$B$6),"Booked",IF($T219="","",IF('Settings'!$B$6&gt;$T219+'Settings'!$B$7,"Overdue",IF($T219&lt;='Settings'!$B$6+7,"Due this week","On schedule")))))</f>
        <v/>
      </c>
      <c r="V219" s="15">
        <f>IF(OR($L219="",N($N219)=0),"",($L219-N($M219))/$N219)</f>
        <v/>
      </c>
      <c r="W219" s="15">
        <f>IF(OR($L219="",$E219=""),"",MIN($L219,N($M219)+N($V219)*MIN(N($N219),MAX(0,((YEAR('Settings'!$B$6)-YEAR($E219))*12+MONTH('Settings'!$B$6)-MONTH($E219)-IF(DAY('Settings'!$B$6)&lt;DAY($E219),1,0))))))</f>
        <v/>
      </c>
      <c r="X219" s="15">
        <f>IF($L219="","",$L219-N($O219))</f>
        <v/>
      </c>
      <c r="Y219" s="15">
        <f>IF($W219="","",MAX(0,$W219-N($O219)))</f>
        <v/>
      </c>
      <c r="Z219" s="9">
        <f>IF(OR($A219="",$L219=""),"",IF($X219&lt;=0,"Paid in full",IF($Y219&lt;1,"On track",IF($Y219&lt;=$V219,"1 instalment behind","Behind"))))</f>
        <v/>
      </c>
      <c r="AA219" s="18">
        <f>IF($U219="Overdue",COUNTIF($U$3:$U219,"Overdue"),"")</f>
        <v/>
      </c>
    </row>
    <row r="220">
      <c r="A220" s="4" t="n"/>
      <c r="B220" s="4" t="n"/>
      <c r="C220" s="4" t="n"/>
      <c r="D220" s="4" t="n"/>
      <c r="E220" s="5" t="n"/>
      <c r="F220" s="6" t="n"/>
      <c r="G220" s="6" t="n"/>
      <c r="H220" s="5" t="n"/>
      <c r="I220" s="5" t="n"/>
      <c r="J220" s="6" t="n"/>
      <c r="K220" s="6" t="n"/>
      <c r="L220" s="14" t="n"/>
      <c r="M220" s="14" t="n"/>
      <c r="N220" s="6" t="n"/>
      <c r="O220" s="14" t="n"/>
      <c r="P220" s="4" t="n"/>
      <c r="Q220" s="15">
        <f>IF($E220="","",ROUND(('Settings'!$B$6-$E220)/30.4375,1))</f>
        <v/>
      </c>
      <c r="R220" s="16">
        <f>IF(OR($E220="",N($F220)=0),"",$Q220/$F220)</f>
        <v/>
      </c>
      <c r="S220" s="16">
        <f>IF(N($K220)=0,"",N($J220)/$K220)</f>
        <v/>
      </c>
      <c r="T220" s="17">
        <f>IF(OR($H220="",$G220=""),"",$H220+$G220*7)</f>
        <v/>
      </c>
      <c r="U220" s="9">
        <f>IF(OR($A220="",NOT(OR($P220="Active",$P220="Retention"))),"",IF(AND($I220&lt;&gt;"",$I220&gt;='Settings'!$B$6),"Booked",IF($T220="","",IF('Settings'!$B$6&gt;$T220+'Settings'!$B$7,"Overdue",IF($T220&lt;='Settings'!$B$6+7,"Due this week","On schedule")))))</f>
        <v/>
      </c>
      <c r="V220" s="15">
        <f>IF(OR($L220="",N($N220)=0),"",($L220-N($M220))/$N220)</f>
        <v/>
      </c>
      <c r="W220" s="15">
        <f>IF(OR($L220="",$E220=""),"",MIN($L220,N($M220)+N($V220)*MIN(N($N220),MAX(0,((YEAR('Settings'!$B$6)-YEAR($E220))*12+MONTH('Settings'!$B$6)-MONTH($E220)-IF(DAY('Settings'!$B$6)&lt;DAY($E220),1,0))))))</f>
        <v/>
      </c>
      <c r="X220" s="15">
        <f>IF($L220="","",$L220-N($O220))</f>
        <v/>
      </c>
      <c r="Y220" s="15">
        <f>IF($W220="","",MAX(0,$W220-N($O220)))</f>
        <v/>
      </c>
      <c r="Z220" s="9">
        <f>IF(OR($A220="",$L220=""),"",IF($X220&lt;=0,"Paid in full",IF($Y220&lt;1,"On track",IF($Y220&lt;=$V220,"1 instalment behind","Behind"))))</f>
        <v/>
      </c>
      <c r="AA220" s="18">
        <f>IF($U220="Overdue",COUNTIF($U$3:$U220,"Overdue"),"")</f>
        <v/>
      </c>
    </row>
    <row r="221">
      <c r="A221" s="4" t="n"/>
      <c r="B221" s="4" t="n"/>
      <c r="C221" s="4" t="n"/>
      <c r="D221" s="4" t="n"/>
      <c r="E221" s="5" t="n"/>
      <c r="F221" s="6" t="n"/>
      <c r="G221" s="6" t="n"/>
      <c r="H221" s="5" t="n"/>
      <c r="I221" s="5" t="n"/>
      <c r="J221" s="6" t="n"/>
      <c r="K221" s="6" t="n"/>
      <c r="L221" s="14" t="n"/>
      <c r="M221" s="14" t="n"/>
      <c r="N221" s="6" t="n"/>
      <c r="O221" s="14" t="n"/>
      <c r="P221" s="4" t="n"/>
      <c r="Q221" s="15">
        <f>IF($E221="","",ROUND(('Settings'!$B$6-$E221)/30.4375,1))</f>
        <v/>
      </c>
      <c r="R221" s="16">
        <f>IF(OR($E221="",N($F221)=0),"",$Q221/$F221)</f>
        <v/>
      </c>
      <c r="S221" s="16">
        <f>IF(N($K221)=0,"",N($J221)/$K221)</f>
        <v/>
      </c>
      <c r="T221" s="17">
        <f>IF(OR($H221="",$G221=""),"",$H221+$G221*7)</f>
        <v/>
      </c>
      <c r="U221" s="9">
        <f>IF(OR($A221="",NOT(OR($P221="Active",$P221="Retention"))),"",IF(AND($I221&lt;&gt;"",$I221&gt;='Settings'!$B$6),"Booked",IF($T221="","",IF('Settings'!$B$6&gt;$T221+'Settings'!$B$7,"Overdue",IF($T221&lt;='Settings'!$B$6+7,"Due this week","On schedule")))))</f>
        <v/>
      </c>
      <c r="V221" s="15">
        <f>IF(OR($L221="",N($N221)=0),"",($L221-N($M221))/$N221)</f>
        <v/>
      </c>
      <c r="W221" s="15">
        <f>IF(OR($L221="",$E221=""),"",MIN($L221,N($M221)+N($V221)*MIN(N($N221),MAX(0,((YEAR('Settings'!$B$6)-YEAR($E221))*12+MONTH('Settings'!$B$6)-MONTH($E221)-IF(DAY('Settings'!$B$6)&lt;DAY($E221),1,0))))))</f>
        <v/>
      </c>
      <c r="X221" s="15">
        <f>IF($L221="","",$L221-N($O221))</f>
        <v/>
      </c>
      <c r="Y221" s="15">
        <f>IF($W221="","",MAX(0,$W221-N($O221)))</f>
        <v/>
      </c>
      <c r="Z221" s="9">
        <f>IF(OR($A221="",$L221=""),"",IF($X221&lt;=0,"Paid in full",IF($Y221&lt;1,"On track",IF($Y221&lt;=$V221,"1 instalment behind","Behind"))))</f>
        <v/>
      </c>
      <c r="AA221" s="18">
        <f>IF($U221="Overdue",COUNTIF($U$3:$U221,"Overdue"),"")</f>
        <v/>
      </c>
    </row>
    <row r="222">
      <c r="A222" s="4" t="n"/>
      <c r="B222" s="4" t="n"/>
      <c r="C222" s="4" t="n"/>
      <c r="D222" s="4" t="n"/>
      <c r="E222" s="5" t="n"/>
      <c r="F222" s="6" t="n"/>
      <c r="G222" s="6" t="n"/>
      <c r="H222" s="5" t="n"/>
      <c r="I222" s="5" t="n"/>
      <c r="J222" s="6" t="n"/>
      <c r="K222" s="6" t="n"/>
      <c r="L222" s="14" t="n"/>
      <c r="M222" s="14" t="n"/>
      <c r="N222" s="6" t="n"/>
      <c r="O222" s="14" t="n"/>
      <c r="P222" s="4" t="n"/>
      <c r="Q222" s="15">
        <f>IF($E222="","",ROUND(('Settings'!$B$6-$E222)/30.4375,1))</f>
        <v/>
      </c>
      <c r="R222" s="16">
        <f>IF(OR($E222="",N($F222)=0),"",$Q222/$F222)</f>
        <v/>
      </c>
      <c r="S222" s="16">
        <f>IF(N($K222)=0,"",N($J222)/$K222)</f>
        <v/>
      </c>
      <c r="T222" s="17">
        <f>IF(OR($H222="",$G222=""),"",$H222+$G222*7)</f>
        <v/>
      </c>
      <c r="U222" s="9">
        <f>IF(OR($A222="",NOT(OR($P222="Active",$P222="Retention"))),"",IF(AND($I222&lt;&gt;"",$I222&gt;='Settings'!$B$6),"Booked",IF($T222="","",IF('Settings'!$B$6&gt;$T222+'Settings'!$B$7,"Overdue",IF($T222&lt;='Settings'!$B$6+7,"Due this week","On schedule")))))</f>
        <v/>
      </c>
      <c r="V222" s="15">
        <f>IF(OR($L222="",N($N222)=0),"",($L222-N($M222))/$N222)</f>
        <v/>
      </c>
      <c r="W222" s="15">
        <f>IF(OR($L222="",$E222=""),"",MIN($L222,N($M222)+N($V222)*MIN(N($N222),MAX(0,((YEAR('Settings'!$B$6)-YEAR($E222))*12+MONTH('Settings'!$B$6)-MONTH($E222)-IF(DAY('Settings'!$B$6)&lt;DAY($E222),1,0))))))</f>
        <v/>
      </c>
      <c r="X222" s="15">
        <f>IF($L222="","",$L222-N($O222))</f>
        <v/>
      </c>
      <c r="Y222" s="15">
        <f>IF($W222="","",MAX(0,$W222-N($O222)))</f>
        <v/>
      </c>
      <c r="Z222" s="9">
        <f>IF(OR($A222="",$L222=""),"",IF($X222&lt;=0,"Paid in full",IF($Y222&lt;1,"On track",IF($Y222&lt;=$V222,"1 instalment behind","Behind"))))</f>
        <v/>
      </c>
      <c r="AA222" s="18">
        <f>IF($U222="Overdue",COUNTIF($U$3:$U222,"Overdue"),"")</f>
        <v/>
      </c>
    </row>
    <row r="223">
      <c r="A223" s="4" t="n"/>
      <c r="B223" s="4" t="n"/>
      <c r="C223" s="4" t="n"/>
      <c r="D223" s="4" t="n"/>
      <c r="E223" s="5" t="n"/>
      <c r="F223" s="6" t="n"/>
      <c r="G223" s="6" t="n"/>
      <c r="H223" s="5" t="n"/>
      <c r="I223" s="5" t="n"/>
      <c r="J223" s="6" t="n"/>
      <c r="K223" s="6" t="n"/>
      <c r="L223" s="14" t="n"/>
      <c r="M223" s="14" t="n"/>
      <c r="N223" s="6" t="n"/>
      <c r="O223" s="14" t="n"/>
      <c r="P223" s="4" t="n"/>
      <c r="Q223" s="15">
        <f>IF($E223="","",ROUND(('Settings'!$B$6-$E223)/30.4375,1))</f>
        <v/>
      </c>
      <c r="R223" s="16">
        <f>IF(OR($E223="",N($F223)=0),"",$Q223/$F223)</f>
        <v/>
      </c>
      <c r="S223" s="16">
        <f>IF(N($K223)=0,"",N($J223)/$K223)</f>
        <v/>
      </c>
      <c r="T223" s="17">
        <f>IF(OR($H223="",$G223=""),"",$H223+$G223*7)</f>
        <v/>
      </c>
      <c r="U223" s="9">
        <f>IF(OR($A223="",NOT(OR($P223="Active",$P223="Retention"))),"",IF(AND($I223&lt;&gt;"",$I223&gt;='Settings'!$B$6),"Booked",IF($T223="","",IF('Settings'!$B$6&gt;$T223+'Settings'!$B$7,"Overdue",IF($T223&lt;='Settings'!$B$6+7,"Due this week","On schedule")))))</f>
        <v/>
      </c>
      <c r="V223" s="15">
        <f>IF(OR($L223="",N($N223)=0),"",($L223-N($M223))/$N223)</f>
        <v/>
      </c>
      <c r="W223" s="15">
        <f>IF(OR($L223="",$E223=""),"",MIN($L223,N($M223)+N($V223)*MIN(N($N223),MAX(0,((YEAR('Settings'!$B$6)-YEAR($E223))*12+MONTH('Settings'!$B$6)-MONTH($E223)-IF(DAY('Settings'!$B$6)&lt;DAY($E223),1,0))))))</f>
        <v/>
      </c>
      <c r="X223" s="15">
        <f>IF($L223="","",$L223-N($O223))</f>
        <v/>
      </c>
      <c r="Y223" s="15">
        <f>IF($W223="","",MAX(0,$W223-N($O223)))</f>
        <v/>
      </c>
      <c r="Z223" s="9">
        <f>IF(OR($A223="",$L223=""),"",IF($X223&lt;=0,"Paid in full",IF($Y223&lt;1,"On track",IF($Y223&lt;=$V223,"1 instalment behind","Behind"))))</f>
        <v/>
      </c>
      <c r="AA223" s="18">
        <f>IF($U223="Overdue",COUNTIF($U$3:$U223,"Overdue"),"")</f>
        <v/>
      </c>
    </row>
    <row r="224">
      <c r="A224" s="4" t="n"/>
      <c r="B224" s="4" t="n"/>
      <c r="C224" s="4" t="n"/>
      <c r="D224" s="4" t="n"/>
      <c r="E224" s="5" t="n"/>
      <c r="F224" s="6" t="n"/>
      <c r="G224" s="6" t="n"/>
      <c r="H224" s="5" t="n"/>
      <c r="I224" s="5" t="n"/>
      <c r="J224" s="6" t="n"/>
      <c r="K224" s="6" t="n"/>
      <c r="L224" s="14" t="n"/>
      <c r="M224" s="14" t="n"/>
      <c r="N224" s="6" t="n"/>
      <c r="O224" s="14" t="n"/>
      <c r="P224" s="4" t="n"/>
      <c r="Q224" s="15">
        <f>IF($E224="","",ROUND(('Settings'!$B$6-$E224)/30.4375,1))</f>
        <v/>
      </c>
      <c r="R224" s="16">
        <f>IF(OR($E224="",N($F224)=0),"",$Q224/$F224)</f>
        <v/>
      </c>
      <c r="S224" s="16">
        <f>IF(N($K224)=0,"",N($J224)/$K224)</f>
        <v/>
      </c>
      <c r="T224" s="17">
        <f>IF(OR($H224="",$G224=""),"",$H224+$G224*7)</f>
        <v/>
      </c>
      <c r="U224" s="9">
        <f>IF(OR($A224="",NOT(OR($P224="Active",$P224="Retention"))),"",IF(AND($I224&lt;&gt;"",$I224&gt;='Settings'!$B$6),"Booked",IF($T224="","",IF('Settings'!$B$6&gt;$T224+'Settings'!$B$7,"Overdue",IF($T224&lt;='Settings'!$B$6+7,"Due this week","On schedule")))))</f>
        <v/>
      </c>
      <c r="V224" s="15">
        <f>IF(OR($L224="",N($N224)=0),"",($L224-N($M224))/$N224)</f>
        <v/>
      </c>
      <c r="W224" s="15">
        <f>IF(OR($L224="",$E224=""),"",MIN($L224,N($M224)+N($V224)*MIN(N($N224),MAX(0,((YEAR('Settings'!$B$6)-YEAR($E224))*12+MONTH('Settings'!$B$6)-MONTH($E224)-IF(DAY('Settings'!$B$6)&lt;DAY($E224),1,0))))))</f>
        <v/>
      </c>
      <c r="X224" s="15">
        <f>IF($L224="","",$L224-N($O224))</f>
        <v/>
      </c>
      <c r="Y224" s="15">
        <f>IF($W224="","",MAX(0,$W224-N($O224)))</f>
        <v/>
      </c>
      <c r="Z224" s="9">
        <f>IF(OR($A224="",$L224=""),"",IF($X224&lt;=0,"Paid in full",IF($Y224&lt;1,"On track",IF($Y224&lt;=$V224,"1 instalment behind","Behind"))))</f>
        <v/>
      </c>
      <c r="AA224" s="18">
        <f>IF($U224="Overdue",COUNTIF($U$3:$U224,"Overdue"),"")</f>
        <v/>
      </c>
    </row>
    <row r="225">
      <c r="A225" s="4" t="n"/>
      <c r="B225" s="4" t="n"/>
      <c r="C225" s="4" t="n"/>
      <c r="D225" s="4" t="n"/>
      <c r="E225" s="5" t="n"/>
      <c r="F225" s="6" t="n"/>
      <c r="G225" s="6" t="n"/>
      <c r="H225" s="5" t="n"/>
      <c r="I225" s="5" t="n"/>
      <c r="J225" s="6" t="n"/>
      <c r="K225" s="6" t="n"/>
      <c r="L225" s="14" t="n"/>
      <c r="M225" s="14" t="n"/>
      <c r="N225" s="6" t="n"/>
      <c r="O225" s="14" t="n"/>
      <c r="P225" s="4" t="n"/>
      <c r="Q225" s="15">
        <f>IF($E225="","",ROUND(('Settings'!$B$6-$E225)/30.4375,1))</f>
        <v/>
      </c>
      <c r="R225" s="16">
        <f>IF(OR($E225="",N($F225)=0),"",$Q225/$F225)</f>
        <v/>
      </c>
      <c r="S225" s="16">
        <f>IF(N($K225)=0,"",N($J225)/$K225)</f>
        <v/>
      </c>
      <c r="T225" s="17">
        <f>IF(OR($H225="",$G225=""),"",$H225+$G225*7)</f>
        <v/>
      </c>
      <c r="U225" s="9">
        <f>IF(OR($A225="",NOT(OR($P225="Active",$P225="Retention"))),"",IF(AND($I225&lt;&gt;"",$I225&gt;='Settings'!$B$6),"Booked",IF($T225="","",IF('Settings'!$B$6&gt;$T225+'Settings'!$B$7,"Overdue",IF($T225&lt;='Settings'!$B$6+7,"Due this week","On schedule")))))</f>
        <v/>
      </c>
      <c r="V225" s="15">
        <f>IF(OR($L225="",N($N225)=0),"",($L225-N($M225))/$N225)</f>
        <v/>
      </c>
      <c r="W225" s="15">
        <f>IF(OR($L225="",$E225=""),"",MIN($L225,N($M225)+N($V225)*MIN(N($N225),MAX(0,((YEAR('Settings'!$B$6)-YEAR($E225))*12+MONTH('Settings'!$B$6)-MONTH($E225)-IF(DAY('Settings'!$B$6)&lt;DAY($E225),1,0))))))</f>
        <v/>
      </c>
      <c r="X225" s="15">
        <f>IF($L225="","",$L225-N($O225))</f>
        <v/>
      </c>
      <c r="Y225" s="15">
        <f>IF($W225="","",MAX(0,$W225-N($O225)))</f>
        <v/>
      </c>
      <c r="Z225" s="9">
        <f>IF(OR($A225="",$L225=""),"",IF($X225&lt;=0,"Paid in full",IF($Y225&lt;1,"On track",IF($Y225&lt;=$V225,"1 instalment behind","Behind"))))</f>
        <v/>
      </c>
      <c r="AA225" s="18">
        <f>IF($U225="Overdue",COUNTIF($U$3:$U225,"Overdue"),"")</f>
        <v/>
      </c>
    </row>
    <row r="226">
      <c r="A226" s="4" t="n"/>
      <c r="B226" s="4" t="n"/>
      <c r="C226" s="4" t="n"/>
      <c r="D226" s="4" t="n"/>
      <c r="E226" s="5" t="n"/>
      <c r="F226" s="6" t="n"/>
      <c r="G226" s="6" t="n"/>
      <c r="H226" s="5" t="n"/>
      <c r="I226" s="5" t="n"/>
      <c r="J226" s="6" t="n"/>
      <c r="K226" s="6" t="n"/>
      <c r="L226" s="14" t="n"/>
      <c r="M226" s="14" t="n"/>
      <c r="N226" s="6" t="n"/>
      <c r="O226" s="14" t="n"/>
      <c r="P226" s="4" t="n"/>
      <c r="Q226" s="15">
        <f>IF($E226="","",ROUND(('Settings'!$B$6-$E226)/30.4375,1))</f>
        <v/>
      </c>
      <c r="R226" s="16">
        <f>IF(OR($E226="",N($F226)=0),"",$Q226/$F226)</f>
        <v/>
      </c>
      <c r="S226" s="16">
        <f>IF(N($K226)=0,"",N($J226)/$K226)</f>
        <v/>
      </c>
      <c r="T226" s="17">
        <f>IF(OR($H226="",$G226=""),"",$H226+$G226*7)</f>
        <v/>
      </c>
      <c r="U226" s="9">
        <f>IF(OR($A226="",NOT(OR($P226="Active",$P226="Retention"))),"",IF(AND($I226&lt;&gt;"",$I226&gt;='Settings'!$B$6),"Booked",IF($T226="","",IF('Settings'!$B$6&gt;$T226+'Settings'!$B$7,"Overdue",IF($T226&lt;='Settings'!$B$6+7,"Due this week","On schedule")))))</f>
        <v/>
      </c>
      <c r="V226" s="15">
        <f>IF(OR($L226="",N($N226)=0),"",($L226-N($M226))/$N226)</f>
        <v/>
      </c>
      <c r="W226" s="15">
        <f>IF(OR($L226="",$E226=""),"",MIN($L226,N($M226)+N($V226)*MIN(N($N226),MAX(0,((YEAR('Settings'!$B$6)-YEAR($E226))*12+MONTH('Settings'!$B$6)-MONTH($E226)-IF(DAY('Settings'!$B$6)&lt;DAY($E226),1,0))))))</f>
        <v/>
      </c>
      <c r="X226" s="15">
        <f>IF($L226="","",$L226-N($O226))</f>
        <v/>
      </c>
      <c r="Y226" s="15">
        <f>IF($W226="","",MAX(0,$W226-N($O226)))</f>
        <v/>
      </c>
      <c r="Z226" s="9">
        <f>IF(OR($A226="",$L226=""),"",IF($X226&lt;=0,"Paid in full",IF($Y226&lt;1,"On track",IF($Y226&lt;=$V226,"1 instalment behind","Behind"))))</f>
        <v/>
      </c>
      <c r="AA226" s="18">
        <f>IF($U226="Overdue",COUNTIF($U$3:$U226,"Overdue"),"")</f>
        <v/>
      </c>
    </row>
    <row r="227">
      <c r="A227" s="4" t="n"/>
      <c r="B227" s="4" t="n"/>
      <c r="C227" s="4" t="n"/>
      <c r="D227" s="4" t="n"/>
      <c r="E227" s="5" t="n"/>
      <c r="F227" s="6" t="n"/>
      <c r="G227" s="6" t="n"/>
      <c r="H227" s="5" t="n"/>
      <c r="I227" s="5" t="n"/>
      <c r="J227" s="6" t="n"/>
      <c r="K227" s="6" t="n"/>
      <c r="L227" s="14" t="n"/>
      <c r="M227" s="14" t="n"/>
      <c r="N227" s="6" t="n"/>
      <c r="O227" s="14" t="n"/>
      <c r="P227" s="4" t="n"/>
      <c r="Q227" s="15">
        <f>IF($E227="","",ROUND(('Settings'!$B$6-$E227)/30.4375,1))</f>
        <v/>
      </c>
      <c r="R227" s="16">
        <f>IF(OR($E227="",N($F227)=0),"",$Q227/$F227)</f>
        <v/>
      </c>
      <c r="S227" s="16">
        <f>IF(N($K227)=0,"",N($J227)/$K227)</f>
        <v/>
      </c>
      <c r="T227" s="17">
        <f>IF(OR($H227="",$G227=""),"",$H227+$G227*7)</f>
        <v/>
      </c>
      <c r="U227" s="9">
        <f>IF(OR($A227="",NOT(OR($P227="Active",$P227="Retention"))),"",IF(AND($I227&lt;&gt;"",$I227&gt;='Settings'!$B$6),"Booked",IF($T227="","",IF('Settings'!$B$6&gt;$T227+'Settings'!$B$7,"Overdue",IF($T227&lt;='Settings'!$B$6+7,"Due this week","On schedule")))))</f>
        <v/>
      </c>
      <c r="V227" s="15">
        <f>IF(OR($L227="",N($N227)=0),"",($L227-N($M227))/$N227)</f>
        <v/>
      </c>
      <c r="W227" s="15">
        <f>IF(OR($L227="",$E227=""),"",MIN($L227,N($M227)+N($V227)*MIN(N($N227),MAX(0,((YEAR('Settings'!$B$6)-YEAR($E227))*12+MONTH('Settings'!$B$6)-MONTH($E227)-IF(DAY('Settings'!$B$6)&lt;DAY($E227),1,0))))))</f>
        <v/>
      </c>
      <c r="X227" s="15">
        <f>IF($L227="","",$L227-N($O227))</f>
        <v/>
      </c>
      <c r="Y227" s="15">
        <f>IF($W227="","",MAX(0,$W227-N($O227)))</f>
        <v/>
      </c>
      <c r="Z227" s="9">
        <f>IF(OR($A227="",$L227=""),"",IF($X227&lt;=0,"Paid in full",IF($Y227&lt;1,"On track",IF($Y227&lt;=$V227,"1 instalment behind","Behind"))))</f>
        <v/>
      </c>
      <c r="AA227" s="18">
        <f>IF($U227="Overdue",COUNTIF($U$3:$U227,"Overdue"),"")</f>
        <v/>
      </c>
    </row>
    <row r="228">
      <c r="A228" s="4" t="n"/>
      <c r="B228" s="4" t="n"/>
      <c r="C228" s="4" t="n"/>
      <c r="D228" s="4" t="n"/>
      <c r="E228" s="5" t="n"/>
      <c r="F228" s="6" t="n"/>
      <c r="G228" s="6" t="n"/>
      <c r="H228" s="5" t="n"/>
      <c r="I228" s="5" t="n"/>
      <c r="J228" s="6" t="n"/>
      <c r="K228" s="6" t="n"/>
      <c r="L228" s="14" t="n"/>
      <c r="M228" s="14" t="n"/>
      <c r="N228" s="6" t="n"/>
      <c r="O228" s="14" t="n"/>
      <c r="P228" s="4" t="n"/>
      <c r="Q228" s="15">
        <f>IF($E228="","",ROUND(('Settings'!$B$6-$E228)/30.4375,1))</f>
        <v/>
      </c>
      <c r="R228" s="16">
        <f>IF(OR($E228="",N($F228)=0),"",$Q228/$F228)</f>
        <v/>
      </c>
      <c r="S228" s="16">
        <f>IF(N($K228)=0,"",N($J228)/$K228)</f>
        <v/>
      </c>
      <c r="T228" s="17">
        <f>IF(OR($H228="",$G228=""),"",$H228+$G228*7)</f>
        <v/>
      </c>
      <c r="U228" s="9">
        <f>IF(OR($A228="",NOT(OR($P228="Active",$P228="Retention"))),"",IF(AND($I228&lt;&gt;"",$I228&gt;='Settings'!$B$6),"Booked",IF($T228="","",IF('Settings'!$B$6&gt;$T228+'Settings'!$B$7,"Overdue",IF($T228&lt;='Settings'!$B$6+7,"Due this week","On schedule")))))</f>
        <v/>
      </c>
      <c r="V228" s="15">
        <f>IF(OR($L228="",N($N228)=0),"",($L228-N($M228))/$N228)</f>
        <v/>
      </c>
      <c r="W228" s="15">
        <f>IF(OR($L228="",$E228=""),"",MIN($L228,N($M228)+N($V228)*MIN(N($N228),MAX(0,((YEAR('Settings'!$B$6)-YEAR($E228))*12+MONTH('Settings'!$B$6)-MONTH($E228)-IF(DAY('Settings'!$B$6)&lt;DAY($E228),1,0))))))</f>
        <v/>
      </c>
      <c r="X228" s="15">
        <f>IF($L228="","",$L228-N($O228))</f>
        <v/>
      </c>
      <c r="Y228" s="15">
        <f>IF($W228="","",MAX(0,$W228-N($O228)))</f>
        <v/>
      </c>
      <c r="Z228" s="9">
        <f>IF(OR($A228="",$L228=""),"",IF($X228&lt;=0,"Paid in full",IF($Y228&lt;1,"On track",IF($Y228&lt;=$V228,"1 instalment behind","Behind"))))</f>
        <v/>
      </c>
      <c r="AA228" s="18">
        <f>IF($U228="Overdue",COUNTIF($U$3:$U228,"Overdue"),"")</f>
        <v/>
      </c>
    </row>
    <row r="229">
      <c r="A229" s="4" t="n"/>
      <c r="B229" s="4" t="n"/>
      <c r="C229" s="4" t="n"/>
      <c r="D229" s="4" t="n"/>
      <c r="E229" s="5" t="n"/>
      <c r="F229" s="6" t="n"/>
      <c r="G229" s="6" t="n"/>
      <c r="H229" s="5" t="n"/>
      <c r="I229" s="5" t="n"/>
      <c r="J229" s="6" t="n"/>
      <c r="K229" s="6" t="n"/>
      <c r="L229" s="14" t="n"/>
      <c r="M229" s="14" t="n"/>
      <c r="N229" s="6" t="n"/>
      <c r="O229" s="14" t="n"/>
      <c r="P229" s="4" t="n"/>
      <c r="Q229" s="15">
        <f>IF($E229="","",ROUND(('Settings'!$B$6-$E229)/30.4375,1))</f>
        <v/>
      </c>
      <c r="R229" s="16">
        <f>IF(OR($E229="",N($F229)=0),"",$Q229/$F229)</f>
        <v/>
      </c>
      <c r="S229" s="16">
        <f>IF(N($K229)=0,"",N($J229)/$K229)</f>
        <v/>
      </c>
      <c r="T229" s="17">
        <f>IF(OR($H229="",$G229=""),"",$H229+$G229*7)</f>
        <v/>
      </c>
      <c r="U229" s="9">
        <f>IF(OR($A229="",NOT(OR($P229="Active",$P229="Retention"))),"",IF(AND($I229&lt;&gt;"",$I229&gt;='Settings'!$B$6),"Booked",IF($T229="","",IF('Settings'!$B$6&gt;$T229+'Settings'!$B$7,"Overdue",IF($T229&lt;='Settings'!$B$6+7,"Due this week","On schedule")))))</f>
        <v/>
      </c>
      <c r="V229" s="15">
        <f>IF(OR($L229="",N($N229)=0),"",($L229-N($M229))/$N229)</f>
        <v/>
      </c>
      <c r="W229" s="15">
        <f>IF(OR($L229="",$E229=""),"",MIN($L229,N($M229)+N($V229)*MIN(N($N229),MAX(0,((YEAR('Settings'!$B$6)-YEAR($E229))*12+MONTH('Settings'!$B$6)-MONTH($E229)-IF(DAY('Settings'!$B$6)&lt;DAY($E229),1,0))))))</f>
        <v/>
      </c>
      <c r="X229" s="15">
        <f>IF($L229="","",$L229-N($O229))</f>
        <v/>
      </c>
      <c r="Y229" s="15">
        <f>IF($W229="","",MAX(0,$W229-N($O229)))</f>
        <v/>
      </c>
      <c r="Z229" s="9">
        <f>IF(OR($A229="",$L229=""),"",IF($X229&lt;=0,"Paid in full",IF($Y229&lt;1,"On track",IF($Y229&lt;=$V229,"1 instalment behind","Behind"))))</f>
        <v/>
      </c>
      <c r="AA229" s="18">
        <f>IF($U229="Overdue",COUNTIF($U$3:$U229,"Overdue"),"")</f>
        <v/>
      </c>
    </row>
    <row r="230">
      <c r="A230" s="4" t="n"/>
      <c r="B230" s="4" t="n"/>
      <c r="C230" s="4" t="n"/>
      <c r="D230" s="4" t="n"/>
      <c r="E230" s="5" t="n"/>
      <c r="F230" s="6" t="n"/>
      <c r="G230" s="6" t="n"/>
      <c r="H230" s="5" t="n"/>
      <c r="I230" s="5" t="n"/>
      <c r="J230" s="6" t="n"/>
      <c r="K230" s="6" t="n"/>
      <c r="L230" s="14" t="n"/>
      <c r="M230" s="14" t="n"/>
      <c r="N230" s="6" t="n"/>
      <c r="O230" s="14" t="n"/>
      <c r="P230" s="4" t="n"/>
      <c r="Q230" s="15">
        <f>IF($E230="","",ROUND(('Settings'!$B$6-$E230)/30.4375,1))</f>
        <v/>
      </c>
      <c r="R230" s="16">
        <f>IF(OR($E230="",N($F230)=0),"",$Q230/$F230)</f>
        <v/>
      </c>
      <c r="S230" s="16">
        <f>IF(N($K230)=0,"",N($J230)/$K230)</f>
        <v/>
      </c>
      <c r="T230" s="17">
        <f>IF(OR($H230="",$G230=""),"",$H230+$G230*7)</f>
        <v/>
      </c>
      <c r="U230" s="9">
        <f>IF(OR($A230="",NOT(OR($P230="Active",$P230="Retention"))),"",IF(AND($I230&lt;&gt;"",$I230&gt;='Settings'!$B$6),"Booked",IF($T230="","",IF('Settings'!$B$6&gt;$T230+'Settings'!$B$7,"Overdue",IF($T230&lt;='Settings'!$B$6+7,"Due this week","On schedule")))))</f>
        <v/>
      </c>
      <c r="V230" s="15">
        <f>IF(OR($L230="",N($N230)=0),"",($L230-N($M230))/$N230)</f>
        <v/>
      </c>
      <c r="W230" s="15">
        <f>IF(OR($L230="",$E230=""),"",MIN($L230,N($M230)+N($V230)*MIN(N($N230),MAX(0,((YEAR('Settings'!$B$6)-YEAR($E230))*12+MONTH('Settings'!$B$6)-MONTH($E230)-IF(DAY('Settings'!$B$6)&lt;DAY($E230),1,0))))))</f>
        <v/>
      </c>
      <c r="X230" s="15">
        <f>IF($L230="","",$L230-N($O230))</f>
        <v/>
      </c>
      <c r="Y230" s="15">
        <f>IF($W230="","",MAX(0,$W230-N($O230)))</f>
        <v/>
      </c>
      <c r="Z230" s="9">
        <f>IF(OR($A230="",$L230=""),"",IF($X230&lt;=0,"Paid in full",IF($Y230&lt;1,"On track",IF($Y230&lt;=$V230,"1 instalment behind","Behind"))))</f>
        <v/>
      </c>
      <c r="AA230" s="18">
        <f>IF($U230="Overdue",COUNTIF($U$3:$U230,"Overdue"),"")</f>
        <v/>
      </c>
    </row>
    <row r="231">
      <c r="A231" s="4" t="n"/>
      <c r="B231" s="4" t="n"/>
      <c r="C231" s="4" t="n"/>
      <c r="D231" s="4" t="n"/>
      <c r="E231" s="5" t="n"/>
      <c r="F231" s="6" t="n"/>
      <c r="G231" s="6" t="n"/>
      <c r="H231" s="5" t="n"/>
      <c r="I231" s="5" t="n"/>
      <c r="J231" s="6" t="n"/>
      <c r="K231" s="6" t="n"/>
      <c r="L231" s="14" t="n"/>
      <c r="M231" s="14" t="n"/>
      <c r="N231" s="6" t="n"/>
      <c r="O231" s="14" t="n"/>
      <c r="P231" s="4" t="n"/>
      <c r="Q231" s="15">
        <f>IF($E231="","",ROUND(('Settings'!$B$6-$E231)/30.4375,1))</f>
        <v/>
      </c>
      <c r="R231" s="16">
        <f>IF(OR($E231="",N($F231)=0),"",$Q231/$F231)</f>
        <v/>
      </c>
      <c r="S231" s="16">
        <f>IF(N($K231)=0,"",N($J231)/$K231)</f>
        <v/>
      </c>
      <c r="T231" s="17">
        <f>IF(OR($H231="",$G231=""),"",$H231+$G231*7)</f>
        <v/>
      </c>
      <c r="U231" s="9">
        <f>IF(OR($A231="",NOT(OR($P231="Active",$P231="Retention"))),"",IF(AND($I231&lt;&gt;"",$I231&gt;='Settings'!$B$6),"Booked",IF($T231="","",IF('Settings'!$B$6&gt;$T231+'Settings'!$B$7,"Overdue",IF($T231&lt;='Settings'!$B$6+7,"Due this week","On schedule")))))</f>
        <v/>
      </c>
      <c r="V231" s="15">
        <f>IF(OR($L231="",N($N231)=0),"",($L231-N($M231))/$N231)</f>
        <v/>
      </c>
      <c r="W231" s="15">
        <f>IF(OR($L231="",$E231=""),"",MIN($L231,N($M231)+N($V231)*MIN(N($N231),MAX(0,((YEAR('Settings'!$B$6)-YEAR($E231))*12+MONTH('Settings'!$B$6)-MONTH($E231)-IF(DAY('Settings'!$B$6)&lt;DAY($E231),1,0))))))</f>
        <v/>
      </c>
      <c r="X231" s="15">
        <f>IF($L231="","",$L231-N($O231))</f>
        <v/>
      </c>
      <c r="Y231" s="15">
        <f>IF($W231="","",MAX(0,$W231-N($O231)))</f>
        <v/>
      </c>
      <c r="Z231" s="9">
        <f>IF(OR($A231="",$L231=""),"",IF($X231&lt;=0,"Paid in full",IF($Y231&lt;1,"On track",IF($Y231&lt;=$V231,"1 instalment behind","Behind"))))</f>
        <v/>
      </c>
      <c r="AA231" s="18">
        <f>IF($U231="Overdue",COUNTIF($U$3:$U231,"Overdue"),"")</f>
        <v/>
      </c>
    </row>
    <row r="232">
      <c r="A232" s="4" t="n"/>
      <c r="B232" s="4" t="n"/>
      <c r="C232" s="4" t="n"/>
      <c r="D232" s="4" t="n"/>
      <c r="E232" s="5" t="n"/>
      <c r="F232" s="6" t="n"/>
      <c r="G232" s="6" t="n"/>
      <c r="H232" s="5" t="n"/>
      <c r="I232" s="5" t="n"/>
      <c r="J232" s="6" t="n"/>
      <c r="K232" s="6" t="n"/>
      <c r="L232" s="14" t="n"/>
      <c r="M232" s="14" t="n"/>
      <c r="N232" s="6" t="n"/>
      <c r="O232" s="14" t="n"/>
      <c r="P232" s="4" t="n"/>
      <c r="Q232" s="15">
        <f>IF($E232="","",ROUND(('Settings'!$B$6-$E232)/30.4375,1))</f>
        <v/>
      </c>
      <c r="R232" s="16">
        <f>IF(OR($E232="",N($F232)=0),"",$Q232/$F232)</f>
        <v/>
      </c>
      <c r="S232" s="16">
        <f>IF(N($K232)=0,"",N($J232)/$K232)</f>
        <v/>
      </c>
      <c r="T232" s="17">
        <f>IF(OR($H232="",$G232=""),"",$H232+$G232*7)</f>
        <v/>
      </c>
      <c r="U232" s="9">
        <f>IF(OR($A232="",NOT(OR($P232="Active",$P232="Retention"))),"",IF(AND($I232&lt;&gt;"",$I232&gt;='Settings'!$B$6),"Booked",IF($T232="","",IF('Settings'!$B$6&gt;$T232+'Settings'!$B$7,"Overdue",IF($T232&lt;='Settings'!$B$6+7,"Due this week","On schedule")))))</f>
        <v/>
      </c>
      <c r="V232" s="15">
        <f>IF(OR($L232="",N($N232)=0),"",($L232-N($M232))/$N232)</f>
        <v/>
      </c>
      <c r="W232" s="15">
        <f>IF(OR($L232="",$E232=""),"",MIN($L232,N($M232)+N($V232)*MIN(N($N232),MAX(0,((YEAR('Settings'!$B$6)-YEAR($E232))*12+MONTH('Settings'!$B$6)-MONTH($E232)-IF(DAY('Settings'!$B$6)&lt;DAY($E232),1,0))))))</f>
        <v/>
      </c>
      <c r="X232" s="15">
        <f>IF($L232="","",$L232-N($O232))</f>
        <v/>
      </c>
      <c r="Y232" s="15">
        <f>IF($W232="","",MAX(0,$W232-N($O232)))</f>
        <v/>
      </c>
      <c r="Z232" s="9">
        <f>IF(OR($A232="",$L232=""),"",IF($X232&lt;=0,"Paid in full",IF($Y232&lt;1,"On track",IF($Y232&lt;=$V232,"1 instalment behind","Behind"))))</f>
        <v/>
      </c>
      <c r="AA232" s="18">
        <f>IF($U232="Overdue",COUNTIF($U$3:$U232,"Overdue"),"")</f>
        <v/>
      </c>
    </row>
    <row r="233">
      <c r="A233" s="4" t="n"/>
      <c r="B233" s="4" t="n"/>
      <c r="C233" s="4" t="n"/>
      <c r="D233" s="4" t="n"/>
      <c r="E233" s="5" t="n"/>
      <c r="F233" s="6" t="n"/>
      <c r="G233" s="6" t="n"/>
      <c r="H233" s="5" t="n"/>
      <c r="I233" s="5" t="n"/>
      <c r="J233" s="6" t="n"/>
      <c r="K233" s="6" t="n"/>
      <c r="L233" s="14" t="n"/>
      <c r="M233" s="14" t="n"/>
      <c r="N233" s="6" t="n"/>
      <c r="O233" s="14" t="n"/>
      <c r="P233" s="4" t="n"/>
      <c r="Q233" s="15">
        <f>IF($E233="","",ROUND(('Settings'!$B$6-$E233)/30.4375,1))</f>
        <v/>
      </c>
      <c r="R233" s="16">
        <f>IF(OR($E233="",N($F233)=0),"",$Q233/$F233)</f>
        <v/>
      </c>
      <c r="S233" s="16">
        <f>IF(N($K233)=0,"",N($J233)/$K233)</f>
        <v/>
      </c>
      <c r="T233" s="17">
        <f>IF(OR($H233="",$G233=""),"",$H233+$G233*7)</f>
        <v/>
      </c>
      <c r="U233" s="9">
        <f>IF(OR($A233="",NOT(OR($P233="Active",$P233="Retention"))),"",IF(AND($I233&lt;&gt;"",$I233&gt;='Settings'!$B$6),"Booked",IF($T233="","",IF('Settings'!$B$6&gt;$T233+'Settings'!$B$7,"Overdue",IF($T233&lt;='Settings'!$B$6+7,"Due this week","On schedule")))))</f>
        <v/>
      </c>
      <c r="V233" s="15">
        <f>IF(OR($L233="",N($N233)=0),"",($L233-N($M233))/$N233)</f>
        <v/>
      </c>
      <c r="W233" s="15">
        <f>IF(OR($L233="",$E233=""),"",MIN($L233,N($M233)+N($V233)*MIN(N($N233),MAX(0,((YEAR('Settings'!$B$6)-YEAR($E233))*12+MONTH('Settings'!$B$6)-MONTH($E233)-IF(DAY('Settings'!$B$6)&lt;DAY($E233),1,0))))))</f>
        <v/>
      </c>
      <c r="X233" s="15">
        <f>IF($L233="","",$L233-N($O233))</f>
        <v/>
      </c>
      <c r="Y233" s="15">
        <f>IF($W233="","",MAX(0,$W233-N($O233)))</f>
        <v/>
      </c>
      <c r="Z233" s="9">
        <f>IF(OR($A233="",$L233=""),"",IF($X233&lt;=0,"Paid in full",IF($Y233&lt;1,"On track",IF($Y233&lt;=$V233,"1 instalment behind","Behind"))))</f>
        <v/>
      </c>
      <c r="AA233" s="18">
        <f>IF($U233="Overdue",COUNTIF($U$3:$U233,"Overdue"),"")</f>
        <v/>
      </c>
    </row>
    <row r="234">
      <c r="A234" s="4" t="n"/>
      <c r="B234" s="4" t="n"/>
      <c r="C234" s="4" t="n"/>
      <c r="D234" s="4" t="n"/>
      <c r="E234" s="5" t="n"/>
      <c r="F234" s="6" t="n"/>
      <c r="G234" s="6" t="n"/>
      <c r="H234" s="5" t="n"/>
      <c r="I234" s="5" t="n"/>
      <c r="J234" s="6" t="n"/>
      <c r="K234" s="6" t="n"/>
      <c r="L234" s="14" t="n"/>
      <c r="M234" s="14" t="n"/>
      <c r="N234" s="6" t="n"/>
      <c r="O234" s="14" t="n"/>
      <c r="P234" s="4" t="n"/>
      <c r="Q234" s="15">
        <f>IF($E234="","",ROUND(('Settings'!$B$6-$E234)/30.4375,1))</f>
        <v/>
      </c>
      <c r="R234" s="16">
        <f>IF(OR($E234="",N($F234)=0),"",$Q234/$F234)</f>
        <v/>
      </c>
      <c r="S234" s="16">
        <f>IF(N($K234)=0,"",N($J234)/$K234)</f>
        <v/>
      </c>
      <c r="T234" s="17">
        <f>IF(OR($H234="",$G234=""),"",$H234+$G234*7)</f>
        <v/>
      </c>
      <c r="U234" s="9">
        <f>IF(OR($A234="",NOT(OR($P234="Active",$P234="Retention"))),"",IF(AND($I234&lt;&gt;"",$I234&gt;='Settings'!$B$6),"Booked",IF($T234="","",IF('Settings'!$B$6&gt;$T234+'Settings'!$B$7,"Overdue",IF($T234&lt;='Settings'!$B$6+7,"Due this week","On schedule")))))</f>
        <v/>
      </c>
      <c r="V234" s="15">
        <f>IF(OR($L234="",N($N234)=0),"",($L234-N($M234))/$N234)</f>
        <v/>
      </c>
      <c r="W234" s="15">
        <f>IF(OR($L234="",$E234=""),"",MIN($L234,N($M234)+N($V234)*MIN(N($N234),MAX(0,((YEAR('Settings'!$B$6)-YEAR($E234))*12+MONTH('Settings'!$B$6)-MONTH($E234)-IF(DAY('Settings'!$B$6)&lt;DAY($E234),1,0))))))</f>
        <v/>
      </c>
      <c r="X234" s="15">
        <f>IF($L234="","",$L234-N($O234))</f>
        <v/>
      </c>
      <c r="Y234" s="15">
        <f>IF($W234="","",MAX(0,$W234-N($O234)))</f>
        <v/>
      </c>
      <c r="Z234" s="9">
        <f>IF(OR($A234="",$L234=""),"",IF($X234&lt;=0,"Paid in full",IF($Y234&lt;1,"On track",IF($Y234&lt;=$V234,"1 instalment behind","Behind"))))</f>
        <v/>
      </c>
      <c r="AA234" s="18">
        <f>IF($U234="Overdue",COUNTIF($U$3:$U234,"Overdue"),"")</f>
        <v/>
      </c>
    </row>
    <row r="235">
      <c r="A235" s="4" t="n"/>
      <c r="B235" s="4" t="n"/>
      <c r="C235" s="4" t="n"/>
      <c r="D235" s="4" t="n"/>
      <c r="E235" s="5" t="n"/>
      <c r="F235" s="6" t="n"/>
      <c r="G235" s="6" t="n"/>
      <c r="H235" s="5" t="n"/>
      <c r="I235" s="5" t="n"/>
      <c r="J235" s="6" t="n"/>
      <c r="K235" s="6" t="n"/>
      <c r="L235" s="14" t="n"/>
      <c r="M235" s="14" t="n"/>
      <c r="N235" s="6" t="n"/>
      <c r="O235" s="14" t="n"/>
      <c r="P235" s="4" t="n"/>
      <c r="Q235" s="15">
        <f>IF($E235="","",ROUND(('Settings'!$B$6-$E235)/30.4375,1))</f>
        <v/>
      </c>
      <c r="R235" s="16">
        <f>IF(OR($E235="",N($F235)=0),"",$Q235/$F235)</f>
        <v/>
      </c>
      <c r="S235" s="16">
        <f>IF(N($K235)=0,"",N($J235)/$K235)</f>
        <v/>
      </c>
      <c r="T235" s="17">
        <f>IF(OR($H235="",$G235=""),"",$H235+$G235*7)</f>
        <v/>
      </c>
      <c r="U235" s="9">
        <f>IF(OR($A235="",NOT(OR($P235="Active",$P235="Retention"))),"",IF(AND($I235&lt;&gt;"",$I235&gt;='Settings'!$B$6),"Booked",IF($T235="","",IF('Settings'!$B$6&gt;$T235+'Settings'!$B$7,"Overdue",IF($T235&lt;='Settings'!$B$6+7,"Due this week","On schedule")))))</f>
        <v/>
      </c>
      <c r="V235" s="15">
        <f>IF(OR($L235="",N($N235)=0),"",($L235-N($M235))/$N235)</f>
        <v/>
      </c>
      <c r="W235" s="15">
        <f>IF(OR($L235="",$E235=""),"",MIN($L235,N($M235)+N($V235)*MIN(N($N235),MAX(0,((YEAR('Settings'!$B$6)-YEAR($E235))*12+MONTH('Settings'!$B$6)-MONTH($E235)-IF(DAY('Settings'!$B$6)&lt;DAY($E235),1,0))))))</f>
        <v/>
      </c>
      <c r="X235" s="15">
        <f>IF($L235="","",$L235-N($O235))</f>
        <v/>
      </c>
      <c r="Y235" s="15">
        <f>IF($W235="","",MAX(0,$W235-N($O235)))</f>
        <v/>
      </c>
      <c r="Z235" s="9">
        <f>IF(OR($A235="",$L235=""),"",IF($X235&lt;=0,"Paid in full",IF($Y235&lt;1,"On track",IF($Y235&lt;=$V235,"1 instalment behind","Behind"))))</f>
        <v/>
      </c>
      <c r="AA235" s="18">
        <f>IF($U235="Overdue",COUNTIF($U$3:$U235,"Overdue"),"")</f>
        <v/>
      </c>
    </row>
    <row r="236">
      <c r="A236" s="4" t="n"/>
      <c r="B236" s="4" t="n"/>
      <c r="C236" s="4" t="n"/>
      <c r="D236" s="4" t="n"/>
      <c r="E236" s="5" t="n"/>
      <c r="F236" s="6" t="n"/>
      <c r="G236" s="6" t="n"/>
      <c r="H236" s="5" t="n"/>
      <c r="I236" s="5" t="n"/>
      <c r="J236" s="6" t="n"/>
      <c r="K236" s="6" t="n"/>
      <c r="L236" s="14" t="n"/>
      <c r="M236" s="14" t="n"/>
      <c r="N236" s="6" t="n"/>
      <c r="O236" s="14" t="n"/>
      <c r="P236" s="4" t="n"/>
      <c r="Q236" s="15">
        <f>IF($E236="","",ROUND(('Settings'!$B$6-$E236)/30.4375,1))</f>
        <v/>
      </c>
      <c r="R236" s="16">
        <f>IF(OR($E236="",N($F236)=0),"",$Q236/$F236)</f>
        <v/>
      </c>
      <c r="S236" s="16">
        <f>IF(N($K236)=0,"",N($J236)/$K236)</f>
        <v/>
      </c>
      <c r="T236" s="17">
        <f>IF(OR($H236="",$G236=""),"",$H236+$G236*7)</f>
        <v/>
      </c>
      <c r="U236" s="9">
        <f>IF(OR($A236="",NOT(OR($P236="Active",$P236="Retention"))),"",IF(AND($I236&lt;&gt;"",$I236&gt;='Settings'!$B$6),"Booked",IF($T236="","",IF('Settings'!$B$6&gt;$T236+'Settings'!$B$7,"Overdue",IF($T236&lt;='Settings'!$B$6+7,"Due this week","On schedule")))))</f>
        <v/>
      </c>
      <c r="V236" s="15">
        <f>IF(OR($L236="",N($N236)=0),"",($L236-N($M236))/$N236)</f>
        <v/>
      </c>
      <c r="W236" s="15">
        <f>IF(OR($L236="",$E236=""),"",MIN($L236,N($M236)+N($V236)*MIN(N($N236),MAX(0,((YEAR('Settings'!$B$6)-YEAR($E236))*12+MONTH('Settings'!$B$6)-MONTH($E236)-IF(DAY('Settings'!$B$6)&lt;DAY($E236),1,0))))))</f>
        <v/>
      </c>
      <c r="X236" s="15">
        <f>IF($L236="","",$L236-N($O236))</f>
        <v/>
      </c>
      <c r="Y236" s="15">
        <f>IF($W236="","",MAX(0,$W236-N($O236)))</f>
        <v/>
      </c>
      <c r="Z236" s="9">
        <f>IF(OR($A236="",$L236=""),"",IF($X236&lt;=0,"Paid in full",IF($Y236&lt;1,"On track",IF($Y236&lt;=$V236,"1 instalment behind","Behind"))))</f>
        <v/>
      </c>
      <c r="AA236" s="18">
        <f>IF($U236="Overdue",COUNTIF($U$3:$U236,"Overdue"),"")</f>
        <v/>
      </c>
    </row>
    <row r="237">
      <c r="A237" s="4" t="n"/>
      <c r="B237" s="4" t="n"/>
      <c r="C237" s="4" t="n"/>
      <c r="D237" s="4" t="n"/>
      <c r="E237" s="5" t="n"/>
      <c r="F237" s="6" t="n"/>
      <c r="G237" s="6" t="n"/>
      <c r="H237" s="5" t="n"/>
      <c r="I237" s="5" t="n"/>
      <c r="J237" s="6" t="n"/>
      <c r="K237" s="6" t="n"/>
      <c r="L237" s="14" t="n"/>
      <c r="M237" s="14" t="n"/>
      <c r="N237" s="6" t="n"/>
      <c r="O237" s="14" t="n"/>
      <c r="P237" s="4" t="n"/>
      <c r="Q237" s="15">
        <f>IF($E237="","",ROUND(('Settings'!$B$6-$E237)/30.4375,1))</f>
        <v/>
      </c>
      <c r="R237" s="16">
        <f>IF(OR($E237="",N($F237)=0),"",$Q237/$F237)</f>
        <v/>
      </c>
      <c r="S237" s="16">
        <f>IF(N($K237)=0,"",N($J237)/$K237)</f>
        <v/>
      </c>
      <c r="T237" s="17">
        <f>IF(OR($H237="",$G237=""),"",$H237+$G237*7)</f>
        <v/>
      </c>
      <c r="U237" s="9">
        <f>IF(OR($A237="",NOT(OR($P237="Active",$P237="Retention"))),"",IF(AND($I237&lt;&gt;"",$I237&gt;='Settings'!$B$6),"Booked",IF($T237="","",IF('Settings'!$B$6&gt;$T237+'Settings'!$B$7,"Overdue",IF($T237&lt;='Settings'!$B$6+7,"Due this week","On schedule")))))</f>
        <v/>
      </c>
      <c r="V237" s="15">
        <f>IF(OR($L237="",N($N237)=0),"",($L237-N($M237))/$N237)</f>
        <v/>
      </c>
      <c r="W237" s="15">
        <f>IF(OR($L237="",$E237=""),"",MIN($L237,N($M237)+N($V237)*MIN(N($N237),MAX(0,((YEAR('Settings'!$B$6)-YEAR($E237))*12+MONTH('Settings'!$B$6)-MONTH($E237)-IF(DAY('Settings'!$B$6)&lt;DAY($E237),1,0))))))</f>
        <v/>
      </c>
      <c r="X237" s="15">
        <f>IF($L237="","",$L237-N($O237))</f>
        <v/>
      </c>
      <c r="Y237" s="15">
        <f>IF($W237="","",MAX(0,$W237-N($O237)))</f>
        <v/>
      </c>
      <c r="Z237" s="9">
        <f>IF(OR($A237="",$L237=""),"",IF($X237&lt;=0,"Paid in full",IF($Y237&lt;1,"On track",IF($Y237&lt;=$V237,"1 instalment behind","Behind"))))</f>
        <v/>
      </c>
      <c r="AA237" s="18">
        <f>IF($U237="Overdue",COUNTIF($U$3:$U237,"Overdue"),"")</f>
        <v/>
      </c>
    </row>
    <row r="238">
      <c r="A238" s="4" t="n"/>
      <c r="B238" s="4" t="n"/>
      <c r="C238" s="4" t="n"/>
      <c r="D238" s="4" t="n"/>
      <c r="E238" s="5" t="n"/>
      <c r="F238" s="6" t="n"/>
      <c r="G238" s="6" t="n"/>
      <c r="H238" s="5" t="n"/>
      <c r="I238" s="5" t="n"/>
      <c r="J238" s="6" t="n"/>
      <c r="K238" s="6" t="n"/>
      <c r="L238" s="14" t="n"/>
      <c r="M238" s="14" t="n"/>
      <c r="N238" s="6" t="n"/>
      <c r="O238" s="14" t="n"/>
      <c r="P238" s="4" t="n"/>
      <c r="Q238" s="15">
        <f>IF($E238="","",ROUND(('Settings'!$B$6-$E238)/30.4375,1))</f>
        <v/>
      </c>
      <c r="R238" s="16">
        <f>IF(OR($E238="",N($F238)=0),"",$Q238/$F238)</f>
        <v/>
      </c>
      <c r="S238" s="16">
        <f>IF(N($K238)=0,"",N($J238)/$K238)</f>
        <v/>
      </c>
      <c r="T238" s="17">
        <f>IF(OR($H238="",$G238=""),"",$H238+$G238*7)</f>
        <v/>
      </c>
      <c r="U238" s="9">
        <f>IF(OR($A238="",NOT(OR($P238="Active",$P238="Retention"))),"",IF(AND($I238&lt;&gt;"",$I238&gt;='Settings'!$B$6),"Booked",IF($T238="","",IF('Settings'!$B$6&gt;$T238+'Settings'!$B$7,"Overdue",IF($T238&lt;='Settings'!$B$6+7,"Due this week","On schedule")))))</f>
        <v/>
      </c>
      <c r="V238" s="15">
        <f>IF(OR($L238="",N($N238)=0),"",($L238-N($M238))/$N238)</f>
        <v/>
      </c>
      <c r="W238" s="15">
        <f>IF(OR($L238="",$E238=""),"",MIN($L238,N($M238)+N($V238)*MIN(N($N238),MAX(0,((YEAR('Settings'!$B$6)-YEAR($E238))*12+MONTH('Settings'!$B$6)-MONTH($E238)-IF(DAY('Settings'!$B$6)&lt;DAY($E238),1,0))))))</f>
        <v/>
      </c>
      <c r="X238" s="15">
        <f>IF($L238="","",$L238-N($O238))</f>
        <v/>
      </c>
      <c r="Y238" s="15">
        <f>IF($W238="","",MAX(0,$W238-N($O238)))</f>
        <v/>
      </c>
      <c r="Z238" s="9">
        <f>IF(OR($A238="",$L238=""),"",IF($X238&lt;=0,"Paid in full",IF($Y238&lt;1,"On track",IF($Y238&lt;=$V238,"1 instalment behind","Behind"))))</f>
        <v/>
      </c>
      <c r="AA238" s="18">
        <f>IF($U238="Overdue",COUNTIF($U$3:$U238,"Overdue"),"")</f>
        <v/>
      </c>
    </row>
    <row r="239">
      <c r="A239" s="4" t="n"/>
      <c r="B239" s="4" t="n"/>
      <c r="C239" s="4" t="n"/>
      <c r="D239" s="4" t="n"/>
      <c r="E239" s="5" t="n"/>
      <c r="F239" s="6" t="n"/>
      <c r="G239" s="6" t="n"/>
      <c r="H239" s="5" t="n"/>
      <c r="I239" s="5" t="n"/>
      <c r="J239" s="6" t="n"/>
      <c r="K239" s="6" t="n"/>
      <c r="L239" s="14" t="n"/>
      <c r="M239" s="14" t="n"/>
      <c r="N239" s="6" t="n"/>
      <c r="O239" s="14" t="n"/>
      <c r="P239" s="4" t="n"/>
      <c r="Q239" s="15">
        <f>IF($E239="","",ROUND(('Settings'!$B$6-$E239)/30.4375,1))</f>
        <v/>
      </c>
      <c r="R239" s="16">
        <f>IF(OR($E239="",N($F239)=0),"",$Q239/$F239)</f>
        <v/>
      </c>
      <c r="S239" s="16">
        <f>IF(N($K239)=0,"",N($J239)/$K239)</f>
        <v/>
      </c>
      <c r="T239" s="17">
        <f>IF(OR($H239="",$G239=""),"",$H239+$G239*7)</f>
        <v/>
      </c>
      <c r="U239" s="9">
        <f>IF(OR($A239="",NOT(OR($P239="Active",$P239="Retention"))),"",IF(AND($I239&lt;&gt;"",$I239&gt;='Settings'!$B$6),"Booked",IF($T239="","",IF('Settings'!$B$6&gt;$T239+'Settings'!$B$7,"Overdue",IF($T239&lt;='Settings'!$B$6+7,"Due this week","On schedule")))))</f>
        <v/>
      </c>
      <c r="V239" s="15">
        <f>IF(OR($L239="",N($N239)=0),"",($L239-N($M239))/$N239)</f>
        <v/>
      </c>
      <c r="W239" s="15">
        <f>IF(OR($L239="",$E239=""),"",MIN($L239,N($M239)+N($V239)*MIN(N($N239),MAX(0,((YEAR('Settings'!$B$6)-YEAR($E239))*12+MONTH('Settings'!$B$6)-MONTH($E239)-IF(DAY('Settings'!$B$6)&lt;DAY($E239),1,0))))))</f>
        <v/>
      </c>
      <c r="X239" s="15">
        <f>IF($L239="","",$L239-N($O239))</f>
        <v/>
      </c>
      <c r="Y239" s="15">
        <f>IF($W239="","",MAX(0,$W239-N($O239)))</f>
        <v/>
      </c>
      <c r="Z239" s="9">
        <f>IF(OR($A239="",$L239=""),"",IF($X239&lt;=0,"Paid in full",IF($Y239&lt;1,"On track",IF($Y239&lt;=$V239,"1 instalment behind","Behind"))))</f>
        <v/>
      </c>
      <c r="AA239" s="18">
        <f>IF($U239="Overdue",COUNTIF($U$3:$U239,"Overdue"),"")</f>
        <v/>
      </c>
    </row>
    <row r="240">
      <c r="A240" s="4" t="n"/>
      <c r="B240" s="4" t="n"/>
      <c r="C240" s="4" t="n"/>
      <c r="D240" s="4" t="n"/>
      <c r="E240" s="5" t="n"/>
      <c r="F240" s="6" t="n"/>
      <c r="G240" s="6" t="n"/>
      <c r="H240" s="5" t="n"/>
      <c r="I240" s="5" t="n"/>
      <c r="J240" s="6" t="n"/>
      <c r="K240" s="6" t="n"/>
      <c r="L240" s="14" t="n"/>
      <c r="M240" s="14" t="n"/>
      <c r="N240" s="6" t="n"/>
      <c r="O240" s="14" t="n"/>
      <c r="P240" s="4" t="n"/>
      <c r="Q240" s="15">
        <f>IF($E240="","",ROUND(('Settings'!$B$6-$E240)/30.4375,1))</f>
        <v/>
      </c>
      <c r="R240" s="16">
        <f>IF(OR($E240="",N($F240)=0),"",$Q240/$F240)</f>
        <v/>
      </c>
      <c r="S240" s="16">
        <f>IF(N($K240)=0,"",N($J240)/$K240)</f>
        <v/>
      </c>
      <c r="T240" s="17">
        <f>IF(OR($H240="",$G240=""),"",$H240+$G240*7)</f>
        <v/>
      </c>
      <c r="U240" s="9">
        <f>IF(OR($A240="",NOT(OR($P240="Active",$P240="Retention"))),"",IF(AND($I240&lt;&gt;"",$I240&gt;='Settings'!$B$6),"Booked",IF($T240="","",IF('Settings'!$B$6&gt;$T240+'Settings'!$B$7,"Overdue",IF($T240&lt;='Settings'!$B$6+7,"Due this week","On schedule")))))</f>
        <v/>
      </c>
      <c r="V240" s="15">
        <f>IF(OR($L240="",N($N240)=0),"",($L240-N($M240))/$N240)</f>
        <v/>
      </c>
      <c r="W240" s="15">
        <f>IF(OR($L240="",$E240=""),"",MIN($L240,N($M240)+N($V240)*MIN(N($N240),MAX(0,((YEAR('Settings'!$B$6)-YEAR($E240))*12+MONTH('Settings'!$B$6)-MONTH($E240)-IF(DAY('Settings'!$B$6)&lt;DAY($E240),1,0))))))</f>
        <v/>
      </c>
      <c r="X240" s="15">
        <f>IF($L240="","",$L240-N($O240))</f>
        <v/>
      </c>
      <c r="Y240" s="15">
        <f>IF($W240="","",MAX(0,$W240-N($O240)))</f>
        <v/>
      </c>
      <c r="Z240" s="9">
        <f>IF(OR($A240="",$L240=""),"",IF($X240&lt;=0,"Paid in full",IF($Y240&lt;1,"On track",IF($Y240&lt;=$V240,"1 instalment behind","Behind"))))</f>
        <v/>
      </c>
      <c r="AA240" s="18">
        <f>IF($U240="Overdue",COUNTIF($U$3:$U240,"Overdue"),"")</f>
        <v/>
      </c>
    </row>
    <row r="241">
      <c r="A241" s="4" t="n"/>
      <c r="B241" s="4" t="n"/>
      <c r="C241" s="4" t="n"/>
      <c r="D241" s="4" t="n"/>
      <c r="E241" s="5" t="n"/>
      <c r="F241" s="6" t="n"/>
      <c r="G241" s="6" t="n"/>
      <c r="H241" s="5" t="n"/>
      <c r="I241" s="5" t="n"/>
      <c r="J241" s="6" t="n"/>
      <c r="K241" s="6" t="n"/>
      <c r="L241" s="14" t="n"/>
      <c r="M241" s="14" t="n"/>
      <c r="N241" s="6" t="n"/>
      <c r="O241" s="14" t="n"/>
      <c r="P241" s="4" t="n"/>
      <c r="Q241" s="15">
        <f>IF($E241="","",ROUND(('Settings'!$B$6-$E241)/30.4375,1))</f>
        <v/>
      </c>
      <c r="R241" s="16">
        <f>IF(OR($E241="",N($F241)=0),"",$Q241/$F241)</f>
        <v/>
      </c>
      <c r="S241" s="16">
        <f>IF(N($K241)=0,"",N($J241)/$K241)</f>
        <v/>
      </c>
      <c r="T241" s="17">
        <f>IF(OR($H241="",$G241=""),"",$H241+$G241*7)</f>
        <v/>
      </c>
      <c r="U241" s="9">
        <f>IF(OR($A241="",NOT(OR($P241="Active",$P241="Retention"))),"",IF(AND($I241&lt;&gt;"",$I241&gt;='Settings'!$B$6),"Booked",IF($T241="","",IF('Settings'!$B$6&gt;$T241+'Settings'!$B$7,"Overdue",IF($T241&lt;='Settings'!$B$6+7,"Due this week","On schedule")))))</f>
        <v/>
      </c>
      <c r="V241" s="15">
        <f>IF(OR($L241="",N($N241)=0),"",($L241-N($M241))/$N241)</f>
        <v/>
      </c>
      <c r="W241" s="15">
        <f>IF(OR($L241="",$E241=""),"",MIN($L241,N($M241)+N($V241)*MIN(N($N241),MAX(0,((YEAR('Settings'!$B$6)-YEAR($E241))*12+MONTH('Settings'!$B$6)-MONTH($E241)-IF(DAY('Settings'!$B$6)&lt;DAY($E241),1,0))))))</f>
        <v/>
      </c>
      <c r="X241" s="15">
        <f>IF($L241="","",$L241-N($O241))</f>
        <v/>
      </c>
      <c r="Y241" s="15">
        <f>IF($W241="","",MAX(0,$W241-N($O241)))</f>
        <v/>
      </c>
      <c r="Z241" s="9">
        <f>IF(OR($A241="",$L241=""),"",IF($X241&lt;=0,"Paid in full",IF($Y241&lt;1,"On track",IF($Y241&lt;=$V241,"1 instalment behind","Behind"))))</f>
        <v/>
      </c>
      <c r="AA241" s="18">
        <f>IF($U241="Overdue",COUNTIF($U$3:$U241,"Overdue"),"")</f>
        <v/>
      </c>
    </row>
    <row r="242">
      <c r="A242" s="4" t="n"/>
      <c r="B242" s="4" t="n"/>
      <c r="C242" s="4" t="n"/>
      <c r="D242" s="4" t="n"/>
      <c r="E242" s="5" t="n"/>
      <c r="F242" s="6" t="n"/>
      <c r="G242" s="6" t="n"/>
      <c r="H242" s="5" t="n"/>
      <c r="I242" s="5" t="n"/>
      <c r="J242" s="6" t="n"/>
      <c r="K242" s="6" t="n"/>
      <c r="L242" s="14" t="n"/>
      <c r="M242" s="14" t="n"/>
      <c r="N242" s="6" t="n"/>
      <c r="O242" s="14" t="n"/>
      <c r="P242" s="4" t="n"/>
      <c r="Q242" s="15">
        <f>IF($E242="","",ROUND(('Settings'!$B$6-$E242)/30.4375,1))</f>
        <v/>
      </c>
      <c r="R242" s="16">
        <f>IF(OR($E242="",N($F242)=0),"",$Q242/$F242)</f>
        <v/>
      </c>
      <c r="S242" s="16">
        <f>IF(N($K242)=0,"",N($J242)/$K242)</f>
        <v/>
      </c>
      <c r="T242" s="17">
        <f>IF(OR($H242="",$G242=""),"",$H242+$G242*7)</f>
        <v/>
      </c>
      <c r="U242" s="9">
        <f>IF(OR($A242="",NOT(OR($P242="Active",$P242="Retention"))),"",IF(AND($I242&lt;&gt;"",$I242&gt;='Settings'!$B$6),"Booked",IF($T242="","",IF('Settings'!$B$6&gt;$T242+'Settings'!$B$7,"Overdue",IF($T242&lt;='Settings'!$B$6+7,"Due this week","On schedule")))))</f>
        <v/>
      </c>
      <c r="V242" s="15">
        <f>IF(OR($L242="",N($N242)=0),"",($L242-N($M242))/$N242)</f>
        <v/>
      </c>
      <c r="W242" s="15">
        <f>IF(OR($L242="",$E242=""),"",MIN($L242,N($M242)+N($V242)*MIN(N($N242),MAX(0,((YEAR('Settings'!$B$6)-YEAR($E242))*12+MONTH('Settings'!$B$6)-MONTH($E242)-IF(DAY('Settings'!$B$6)&lt;DAY($E242),1,0))))))</f>
        <v/>
      </c>
      <c r="X242" s="15">
        <f>IF($L242="","",$L242-N($O242))</f>
        <v/>
      </c>
      <c r="Y242" s="15">
        <f>IF($W242="","",MAX(0,$W242-N($O242)))</f>
        <v/>
      </c>
      <c r="Z242" s="9">
        <f>IF(OR($A242="",$L242=""),"",IF($X242&lt;=0,"Paid in full",IF($Y242&lt;1,"On track",IF($Y242&lt;=$V242,"1 instalment behind","Behind"))))</f>
        <v/>
      </c>
      <c r="AA242" s="18">
        <f>IF($U242="Overdue",COUNTIF($U$3:$U242,"Overdue"),"")</f>
        <v/>
      </c>
    </row>
    <row r="243">
      <c r="A243" s="4" t="n"/>
      <c r="B243" s="4" t="n"/>
      <c r="C243" s="4" t="n"/>
      <c r="D243" s="4" t="n"/>
      <c r="E243" s="5" t="n"/>
      <c r="F243" s="6" t="n"/>
      <c r="G243" s="6" t="n"/>
      <c r="H243" s="5" t="n"/>
      <c r="I243" s="5" t="n"/>
      <c r="J243" s="6" t="n"/>
      <c r="K243" s="6" t="n"/>
      <c r="L243" s="14" t="n"/>
      <c r="M243" s="14" t="n"/>
      <c r="N243" s="6" t="n"/>
      <c r="O243" s="14" t="n"/>
      <c r="P243" s="4" t="n"/>
      <c r="Q243" s="15">
        <f>IF($E243="","",ROUND(('Settings'!$B$6-$E243)/30.4375,1))</f>
        <v/>
      </c>
      <c r="R243" s="16">
        <f>IF(OR($E243="",N($F243)=0),"",$Q243/$F243)</f>
        <v/>
      </c>
      <c r="S243" s="16">
        <f>IF(N($K243)=0,"",N($J243)/$K243)</f>
        <v/>
      </c>
      <c r="T243" s="17">
        <f>IF(OR($H243="",$G243=""),"",$H243+$G243*7)</f>
        <v/>
      </c>
      <c r="U243" s="9">
        <f>IF(OR($A243="",NOT(OR($P243="Active",$P243="Retention"))),"",IF(AND($I243&lt;&gt;"",$I243&gt;='Settings'!$B$6),"Booked",IF($T243="","",IF('Settings'!$B$6&gt;$T243+'Settings'!$B$7,"Overdue",IF($T243&lt;='Settings'!$B$6+7,"Due this week","On schedule")))))</f>
        <v/>
      </c>
      <c r="V243" s="15">
        <f>IF(OR($L243="",N($N243)=0),"",($L243-N($M243))/$N243)</f>
        <v/>
      </c>
      <c r="W243" s="15">
        <f>IF(OR($L243="",$E243=""),"",MIN($L243,N($M243)+N($V243)*MIN(N($N243),MAX(0,((YEAR('Settings'!$B$6)-YEAR($E243))*12+MONTH('Settings'!$B$6)-MONTH($E243)-IF(DAY('Settings'!$B$6)&lt;DAY($E243),1,0))))))</f>
        <v/>
      </c>
      <c r="X243" s="15">
        <f>IF($L243="","",$L243-N($O243))</f>
        <v/>
      </c>
      <c r="Y243" s="15">
        <f>IF($W243="","",MAX(0,$W243-N($O243)))</f>
        <v/>
      </c>
      <c r="Z243" s="9">
        <f>IF(OR($A243="",$L243=""),"",IF($X243&lt;=0,"Paid in full",IF($Y243&lt;1,"On track",IF($Y243&lt;=$V243,"1 instalment behind","Behind"))))</f>
        <v/>
      </c>
      <c r="AA243" s="18">
        <f>IF($U243="Overdue",COUNTIF($U$3:$U243,"Overdue"),"")</f>
        <v/>
      </c>
    </row>
    <row r="244">
      <c r="A244" s="4" t="n"/>
      <c r="B244" s="4" t="n"/>
      <c r="C244" s="4" t="n"/>
      <c r="D244" s="4" t="n"/>
      <c r="E244" s="5" t="n"/>
      <c r="F244" s="6" t="n"/>
      <c r="G244" s="6" t="n"/>
      <c r="H244" s="5" t="n"/>
      <c r="I244" s="5" t="n"/>
      <c r="J244" s="6" t="n"/>
      <c r="K244" s="6" t="n"/>
      <c r="L244" s="14" t="n"/>
      <c r="M244" s="14" t="n"/>
      <c r="N244" s="6" t="n"/>
      <c r="O244" s="14" t="n"/>
      <c r="P244" s="4" t="n"/>
      <c r="Q244" s="15">
        <f>IF($E244="","",ROUND(('Settings'!$B$6-$E244)/30.4375,1))</f>
        <v/>
      </c>
      <c r="R244" s="16">
        <f>IF(OR($E244="",N($F244)=0),"",$Q244/$F244)</f>
        <v/>
      </c>
      <c r="S244" s="16">
        <f>IF(N($K244)=0,"",N($J244)/$K244)</f>
        <v/>
      </c>
      <c r="T244" s="17">
        <f>IF(OR($H244="",$G244=""),"",$H244+$G244*7)</f>
        <v/>
      </c>
      <c r="U244" s="9">
        <f>IF(OR($A244="",NOT(OR($P244="Active",$P244="Retention"))),"",IF(AND($I244&lt;&gt;"",$I244&gt;='Settings'!$B$6),"Booked",IF($T244="","",IF('Settings'!$B$6&gt;$T244+'Settings'!$B$7,"Overdue",IF($T244&lt;='Settings'!$B$6+7,"Due this week","On schedule")))))</f>
        <v/>
      </c>
      <c r="V244" s="15">
        <f>IF(OR($L244="",N($N244)=0),"",($L244-N($M244))/$N244)</f>
        <v/>
      </c>
      <c r="W244" s="15">
        <f>IF(OR($L244="",$E244=""),"",MIN($L244,N($M244)+N($V244)*MIN(N($N244),MAX(0,((YEAR('Settings'!$B$6)-YEAR($E244))*12+MONTH('Settings'!$B$6)-MONTH($E244)-IF(DAY('Settings'!$B$6)&lt;DAY($E244),1,0))))))</f>
        <v/>
      </c>
      <c r="X244" s="15">
        <f>IF($L244="","",$L244-N($O244))</f>
        <v/>
      </c>
      <c r="Y244" s="15">
        <f>IF($W244="","",MAX(0,$W244-N($O244)))</f>
        <v/>
      </c>
      <c r="Z244" s="9">
        <f>IF(OR($A244="",$L244=""),"",IF($X244&lt;=0,"Paid in full",IF($Y244&lt;1,"On track",IF($Y244&lt;=$V244,"1 instalment behind","Behind"))))</f>
        <v/>
      </c>
      <c r="AA244" s="18">
        <f>IF($U244="Overdue",COUNTIF($U$3:$U244,"Overdue"),"")</f>
        <v/>
      </c>
    </row>
    <row r="245">
      <c r="A245" s="4" t="n"/>
      <c r="B245" s="4" t="n"/>
      <c r="C245" s="4" t="n"/>
      <c r="D245" s="4" t="n"/>
      <c r="E245" s="5" t="n"/>
      <c r="F245" s="6" t="n"/>
      <c r="G245" s="6" t="n"/>
      <c r="H245" s="5" t="n"/>
      <c r="I245" s="5" t="n"/>
      <c r="J245" s="6" t="n"/>
      <c r="K245" s="6" t="n"/>
      <c r="L245" s="14" t="n"/>
      <c r="M245" s="14" t="n"/>
      <c r="N245" s="6" t="n"/>
      <c r="O245" s="14" t="n"/>
      <c r="P245" s="4" t="n"/>
      <c r="Q245" s="15">
        <f>IF($E245="","",ROUND(('Settings'!$B$6-$E245)/30.4375,1))</f>
        <v/>
      </c>
      <c r="R245" s="16">
        <f>IF(OR($E245="",N($F245)=0),"",$Q245/$F245)</f>
        <v/>
      </c>
      <c r="S245" s="16">
        <f>IF(N($K245)=0,"",N($J245)/$K245)</f>
        <v/>
      </c>
      <c r="T245" s="17">
        <f>IF(OR($H245="",$G245=""),"",$H245+$G245*7)</f>
        <v/>
      </c>
      <c r="U245" s="9">
        <f>IF(OR($A245="",NOT(OR($P245="Active",$P245="Retention"))),"",IF(AND($I245&lt;&gt;"",$I245&gt;='Settings'!$B$6),"Booked",IF($T245="","",IF('Settings'!$B$6&gt;$T245+'Settings'!$B$7,"Overdue",IF($T245&lt;='Settings'!$B$6+7,"Due this week","On schedule")))))</f>
        <v/>
      </c>
      <c r="V245" s="15">
        <f>IF(OR($L245="",N($N245)=0),"",($L245-N($M245))/$N245)</f>
        <v/>
      </c>
      <c r="W245" s="15">
        <f>IF(OR($L245="",$E245=""),"",MIN($L245,N($M245)+N($V245)*MIN(N($N245),MAX(0,((YEAR('Settings'!$B$6)-YEAR($E245))*12+MONTH('Settings'!$B$6)-MONTH($E245)-IF(DAY('Settings'!$B$6)&lt;DAY($E245),1,0))))))</f>
        <v/>
      </c>
      <c r="X245" s="15">
        <f>IF($L245="","",$L245-N($O245))</f>
        <v/>
      </c>
      <c r="Y245" s="15">
        <f>IF($W245="","",MAX(0,$W245-N($O245)))</f>
        <v/>
      </c>
      <c r="Z245" s="9">
        <f>IF(OR($A245="",$L245=""),"",IF($X245&lt;=0,"Paid in full",IF($Y245&lt;1,"On track",IF($Y245&lt;=$V245,"1 instalment behind","Behind"))))</f>
        <v/>
      </c>
      <c r="AA245" s="18">
        <f>IF($U245="Overdue",COUNTIF($U$3:$U245,"Overdue"),"")</f>
        <v/>
      </c>
    </row>
    <row r="246">
      <c r="A246" s="4" t="n"/>
      <c r="B246" s="4" t="n"/>
      <c r="C246" s="4" t="n"/>
      <c r="D246" s="4" t="n"/>
      <c r="E246" s="5" t="n"/>
      <c r="F246" s="6" t="n"/>
      <c r="G246" s="6" t="n"/>
      <c r="H246" s="5" t="n"/>
      <c r="I246" s="5" t="n"/>
      <c r="J246" s="6" t="n"/>
      <c r="K246" s="6" t="n"/>
      <c r="L246" s="14" t="n"/>
      <c r="M246" s="14" t="n"/>
      <c r="N246" s="6" t="n"/>
      <c r="O246" s="14" t="n"/>
      <c r="P246" s="4" t="n"/>
      <c r="Q246" s="15">
        <f>IF($E246="","",ROUND(('Settings'!$B$6-$E246)/30.4375,1))</f>
        <v/>
      </c>
      <c r="R246" s="16">
        <f>IF(OR($E246="",N($F246)=0),"",$Q246/$F246)</f>
        <v/>
      </c>
      <c r="S246" s="16">
        <f>IF(N($K246)=0,"",N($J246)/$K246)</f>
        <v/>
      </c>
      <c r="T246" s="17">
        <f>IF(OR($H246="",$G246=""),"",$H246+$G246*7)</f>
        <v/>
      </c>
      <c r="U246" s="9">
        <f>IF(OR($A246="",NOT(OR($P246="Active",$P246="Retention"))),"",IF(AND($I246&lt;&gt;"",$I246&gt;='Settings'!$B$6),"Booked",IF($T246="","",IF('Settings'!$B$6&gt;$T246+'Settings'!$B$7,"Overdue",IF($T246&lt;='Settings'!$B$6+7,"Due this week","On schedule")))))</f>
        <v/>
      </c>
      <c r="V246" s="15">
        <f>IF(OR($L246="",N($N246)=0),"",($L246-N($M246))/$N246)</f>
        <v/>
      </c>
      <c r="W246" s="15">
        <f>IF(OR($L246="",$E246=""),"",MIN($L246,N($M246)+N($V246)*MIN(N($N246),MAX(0,((YEAR('Settings'!$B$6)-YEAR($E246))*12+MONTH('Settings'!$B$6)-MONTH($E246)-IF(DAY('Settings'!$B$6)&lt;DAY($E246),1,0))))))</f>
        <v/>
      </c>
      <c r="X246" s="15">
        <f>IF($L246="","",$L246-N($O246))</f>
        <v/>
      </c>
      <c r="Y246" s="15">
        <f>IF($W246="","",MAX(0,$W246-N($O246)))</f>
        <v/>
      </c>
      <c r="Z246" s="9">
        <f>IF(OR($A246="",$L246=""),"",IF($X246&lt;=0,"Paid in full",IF($Y246&lt;1,"On track",IF($Y246&lt;=$V246,"1 instalment behind","Behind"))))</f>
        <v/>
      </c>
      <c r="AA246" s="18">
        <f>IF($U246="Overdue",COUNTIF($U$3:$U246,"Overdue"),"")</f>
        <v/>
      </c>
    </row>
    <row r="247">
      <c r="A247" s="4" t="n"/>
      <c r="B247" s="4" t="n"/>
      <c r="C247" s="4" t="n"/>
      <c r="D247" s="4" t="n"/>
      <c r="E247" s="5" t="n"/>
      <c r="F247" s="6" t="n"/>
      <c r="G247" s="6" t="n"/>
      <c r="H247" s="5" t="n"/>
      <c r="I247" s="5" t="n"/>
      <c r="J247" s="6" t="n"/>
      <c r="K247" s="6" t="n"/>
      <c r="L247" s="14" t="n"/>
      <c r="M247" s="14" t="n"/>
      <c r="N247" s="6" t="n"/>
      <c r="O247" s="14" t="n"/>
      <c r="P247" s="4" t="n"/>
      <c r="Q247" s="15">
        <f>IF($E247="","",ROUND(('Settings'!$B$6-$E247)/30.4375,1))</f>
        <v/>
      </c>
      <c r="R247" s="16">
        <f>IF(OR($E247="",N($F247)=0),"",$Q247/$F247)</f>
        <v/>
      </c>
      <c r="S247" s="16">
        <f>IF(N($K247)=0,"",N($J247)/$K247)</f>
        <v/>
      </c>
      <c r="T247" s="17">
        <f>IF(OR($H247="",$G247=""),"",$H247+$G247*7)</f>
        <v/>
      </c>
      <c r="U247" s="9">
        <f>IF(OR($A247="",NOT(OR($P247="Active",$P247="Retention"))),"",IF(AND($I247&lt;&gt;"",$I247&gt;='Settings'!$B$6),"Booked",IF($T247="","",IF('Settings'!$B$6&gt;$T247+'Settings'!$B$7,"Overdue",IF($T247&lt;='Settings'!$B$6+7,"Due this week","On schedule")))))</f>
        <v/>
      </c>
      <c r="V247" s="15">
        <f>IF(OR($L247="",N($N247)=0),"",($L247-N($M247))/$N247)</f>
        <v/>
      </c>
      <c r="W247" s="15">
        <f>IF(OR($L247="",$E247=""),"",MIN($L247,N($M247)+N($V247)*MIN(N($N247),MAX(0,((YEAR('Settings'!$B$6)-YEAR($E247))*12+MONTH('Settings'!$B$6)-MONTH($E247)-IF(DAY('Settings'!$B$6)&lt;DAY($E247),1,0))))))</f>
        <v/>
      </c>
      <c r="X247" s="15">
        <f>IF($L247="","",$L247-N($O247))</f>
        <v/>
      </c>
      <c r="Y247" s="15">
        <f>IF($W247="","",MAX(0,$W247-N($O247)))</f>
        <v/>
      </c>
      <c r="Z247" s="9">
        <f>IF(OR($A247="",$L247=""),"",IF($X247&lt;=0,"Paid in full",IF($Y247&lt;1,"On track",IF($Y247&lt;=$V247,"1 instalment behind","Behind"))))</f>
        <v/>
      </c>
      <c r="AA247" s="18">
        <f>IF($U247="Overdue",COUNTIF($U$3:$U247,"Overdue"),"")</f>
        <v/>
      </c>
    </row>
    <row r="248">
      <c r="A248" s="4" t="n"/>
      <c r="B248" s="4" t="n"/>
      <c r="C248" s="4" t="n"/>
      <c r="D248" s="4" t="n"/>
      <c r="E248" s="5" t="n"/>
      <c r="F248" s="6" t="n"/>
      <c r="G248" s="6" t="n"/>
      <c r="H248" s="5" t="n"/>
      <c r="I248" s="5" t="n"/>
      <c r="J248" s="6" t="n"/>
      <c r="K248" s="6" t="n"/>
      <c r="L248" s="14" t="n"/>
      <c r="M248" s="14" t="n"/>
      <c r="N248" s="6" t="n"/>
      <c r="O248" s="14" t="n"/>
      <c r="P248" s="4" t="n"/>
      <c r="Q248" s="15">
        <f>IF($E248="","",ROUND(('Settings'!$B$6-$E248)/30.4375,1))</f>
        <v/>
      </c>
      <c r="R248" s="16">
        <f>IF(OR($E248="",N($F248)=0),"",$Q248/$F248)</f>
        <v/>
      </c>
      <c r="S248" s="16">
        <f>IF(N($K248)=0,"",N($J248)/$K248)</f>
        <v/>
      </c>
      <c r="T248" s="17">
        <f>IF(OR($H248="",$G248=""),"",$H248+$G248*7)</f>
        <v/>
      </c>
      <c r="U248" s="9">
        <f>IF(OR($A248="",NOT(OR($P248="Active",$P248="Retention"))),"",IF(AND($I248&lt;&gt;"",$I248&gt;='Settings'!$B$6),"Booked",IF($T248="","",IF('Settings'!$B$6&gt;$T248+'Settings'!$B$7,"Overdue",IF($T248&lt;='Settings'!$B$6+7,"Due this week","On schedule")))))</f>
        <v/>
      </c>
      <c r="V248" s="15">
        <f>IF(OR($L248="",N($N248)=0),"",($L248-N($M248))/$N248)</f>
        <v/>
      </c>
      <c r="W248" s="15">
        <f>IF(OR($L248="",$E248=""),"",MIN($L248,N($M248)+N($V248)*MIN(N($N248),MAX(0,((YEAR('Settings'!$B$6)-YEAR($E248))*12+MONTH('Settings'!$B$6)-MONTH($E248)-IF(DAY('Settings'!$B$6)&lt;DAY($E248),1,0))))))</f>
        <v/>
      </c>
      <c r="X248" s="15">
        <f>IF($L248="","",$L248-N($O248))</f>
        <v/>
      </c>
      <c r="Y248" s="15">
        <f>IF($W248="","",MAX(0,$W248-N($O248)))</f>
        <v/>
      </c>
      <c r="Z248" s="9">
        <f>IF(OR($A248="",$L248=""),"",IF($X248&lt;=0,"Paid in full",IF($Y248&lt;1,"On track",IF($Y248&lt;=$V248,"1 instalment behind","Behind"))))</f>
        <v/>
      </c>
      <c r="AA248" s="18">
        <f>IF($U248="Overdue",COUNTIF($U$3:$U248,"Overdue"),"")</f>
        <v/>
      </c>
    </row>
    <row r="249">
      <c r="A249" s="4" t="n"/>
      <c r="B249" s="4" t="n"/>
      <c r="C249" s="4" t="n"/>
      <c r="D249" s="4" t="n"/>
      <c r="E249" s="5" t="n"/>
      <c r="F249" s="6" t="n"/>
      <c r="G249" s="6" t="n"/>
      <c r="H249" s="5" t="n"/>
      <c r="I249" s="5" t="n"/>
      <c r="J249" s="6" t="n"/>
      <c r="K249" s="6" t="n"/>
      <c r="L249" s="14" t="n"/>
      <c r="M249" s="14" t="n"/>
      <c r="N249" s="6" t="n"/>
      <c r="O249" s="14" t="n"/>
      <c r="P249" s="4" t="n"/>
      <c r="Q249" s="15">
        <f>IF($E249="","",ROUND(('Settings'!$B$6-$E249)/30.4375,1))</f>
        <v/>
      </c>
      <c r="R249" s="16">
        <f>IF(OR($E249="",N($F249)=0),"",$Q249/$F249)</f>
        <v/>
      </c>
      <c r="S249" s="16">
        <f>IF(N($K249)=0,"",N($J249)/$K249)</f>
        <v/>
      </c>
      <c r="T249" s="17">
        <f>IF(OR($H249="",$G249=""),"",$H249+$G249*7)</f>
        <v/>
      </c>
      <c r="U249" s="9">
        <f>IF(OR($A249="",NOT(OR($P249="Active",$P249="Retention"))),"",IF(AND($I249&lt;&gt;"",$I249&gt;='Settings'!$B$6),"Booked",IF($T249="","",IF('Settings'!$B$6&gt;$T249+'Settings'!$B$7,"Overdue",IF($T249&lt;='Settings'!$B$6+7,"Due this week","On schedule")))))</f>
        <v/>
      </c>
      <c r="V249" s="15">
        <f>IF(OR($L249="",N($N249)=0),"",($L249-N($M249))/$N249)</f>
        <v/>
      </c>
      <c r="W249" s="15">
        <f>IF(OR($L249="",$E249=""),"",MIN($L249,N($M249)+N($V249)*MIN(N($N249),MAX(0,((YEAR('Settings'!$B$6)-YEAR($E249))*12+MONTH('Settings'!$B$6)-MONTH($E249)-IF(DAY('Settings'!$B$6)&lt;DAY($E249),1,0))))))</f>
        <v/>
      </c>
      <c r="X249" s="15">
        <f>IF($L249="","",$L249-N($O249))</f>
        <v/>
      </c>
      <c r="Y249" s="15">
        <f>IF($W249="","",MAX(0,$W249-N($O249)))</f>
        <v/>
      </c>
      <c r="Z249" s="9">
        <f>IF(OR($A249="",$L249=""),"",IF($X249&lt;=0,"Paid in full",IF($Y249&lt;1,"On track",IF($Y249&lt;=$V249,"1 instalment behind","Behind"))))</f>
        <v/>
      </c>
      <c r="AA249" s="18">
        <f>IF($U249="Overdue",COUNTIF($U$3:$U249,"Overdue"),"")</f>
        <v/>
      </c>
    </row>
    <row r="250">
      <c r="A250" s="4" t="n"/>
      <c r="B250" s="4" t="n"/>
      <c r="C250" s="4" t="n"/>
      <c r="D250" s="4" t="n"/>
      <c r="E250" s="5" t="n"/>
      <c r="F250" s="6" t="n"/>
      <c r="G250" s="6" t="n"/>
      <c r="H250" s="5" t="n"/>
      <c r="I250" s="5" t="n"/>
      <c r="J250" s="6" t="n"/>
      <c r="K250" s="6" t="n"/>
      <c r="L250" s="14" t="n"/>
      <c r="M250" s="14" t="n"/>
      <c r="N250" s="6" t="n"/>
      <c r="O250" s="14" t="n"/>
      <c r="P250" s="4" t="n"/>
      <c r="Q250" s="15">
        <f>IF($E250="","",ROUND(('Settings'!$B$6-$E250)/30.4375,1))</f>
        <v/>
      </c>
      <c r="R250" s="16">
        <f>IF(OR($E250="",N($F250)=0),"",$Q250/$F250)</f>
        <v/>
      </c>
      <c r="S250" s="16">
        <f>IF(N($K250)=0,"",N($J250)/$K250)</f>
        <v/>
      </c>
      <c r="T250" s="17">
        <f>IF(OR($H250="",$G250=""),"",$H250+$G250*7)</f>
        <v/>
      </c>
      <c r="U250" s="9">
        <f>IF(OR($A250="",NOT(OR($P250="Active",$P250="Retention"))),"",IF(AND($I250&lt;&gt;"",$I250&gt;='Settings'!$B$6),"Booked",IF($T250="","",IF('Settings'!$B$6&gt;$T250+'Settings'!$B$7,"Overdue",IF($T250&lt;='Settings'!$B$6+7,"Due this week","On schedule")))))</f>
        <v/>
      </c>
      <c r="V250" s="15">
        <f>IF(OR($L250="",N($N250)=0),"",($L250-N($M250))/$N250)</f>
        <v/>
      </c>
      <c r="W250" s="15">
        <f>IF(OR($L250="",$E250=""),"",MIN($L250,N($M250)+N($V250)*MIN(N($N250),MAX(0,((YEAR('Settings'!$B$6)-YEAR($E250))*12+MONTH('Settings'!$B$6)-MONTH($E250)-IF(DAY('Settings'!$B$6)&lt;DAY($E250),1,0))))))</f>
        <v/>
      </c>
      <c r="X250" s="15">
        <f>IF($L250="","",$L250-N($O250))</f>
        <v/>
      </c>
      <c r="Y250" s="15">
        <f>IF($W250="","",MAX(0,$W250-N($O250)))</f>
        <v/>
      </c>
      <c r="Z250" s="9">
        <f>IF(OR($A250="",$L250=""),"",IF($X250&lt;=0,"Paid in full",IF($Y250&lt;1,"On track",IF($Y250&lt;=$V250,"1 instalment behind","Behind"))))</f>
        <v/>
      </c>
      <c r="AA250" s="18">
        <f>IF($U250="Overdue",COUNTIF($U$3:$U250,"Overdue"),"")</f>
        <v/>
      </c>
    </row>
    <row r="251">
      <c r="A251" s="4" t="n"/>
      <c r="B251" s="4" t="n"/>
      <c r="C251" s="4" t="n"/>
      <c r="D251" s="4" t="n"/>
      <c r="E251" s="5" t="n"/>
      <c r="F251" s="6" t="n"/>
      <c r="G251" s="6" t="n"/>
      <c r="H251" s="5" t="n"/>
      <c r="I251" s="5" t="n"/>
      <c r="J251" s="6" t="n"/>
      <c r="K251" s="6" t="n"/>
      <c r="L251" s="14" t="n"/>
      <c r="M251" s="14" t="n"/>
      <c r="N251" s="6" t="n"/>
      <c r="O251" s="14" t="n"/>
      <c r="P251" s="4" t="n"/>
      <c r="Q251" s="15">
        <f>IF($E251="","",ROUND(('Settings'!$B$6-$E251)/30.4375,1))</f>
        <v/>
      </c>
      <c r="R251" s="16">
        <f>IF(OR($E251="",N($F251)=0),"",$Q251/$F251)</f>
        <v/>
      </c>
      <c r="S251" s="16">
        <f>IF(N($K251)=0,"",N($J251)/$K251)</f>
        <v/>
      </c>
      <c r="T251" s="17">
        <f>IF(OR($H251="",$G251=""),"",$H251+$G251*7)</f>
        <v/>
      </c>
      <c r="U251" s="9">
        <f>IF(OR($A251="",NOT(OR($P251="Active",$P251="Retention"))),"",IF(AND($I251&lt;&gt;"",$I251&gt;='Settings'!$B$6),"Booked",IF($T251="","",IF('Settings'!$B$6&gt;$T251+'Settings'!$B$7,"Overdue",IF($T251&lt;='Settings'!$B$6+7,"Due this week","On schedule")))))</f>
        <v/>
      </c>
      <c r="V251" s="15">
        <f>IF(OR($L251="",N($N251)=0),"",($L251-N($M251))/$N251)</f>
        <v/>
      </c>
      <c r="W251" s="15">
        <f>IF(OR($L251="",$E251=""),"",MIN($L251,N($M251)+N($V251)*MIN(N($N251),MAX(0,((YEAR('Settings'!$B$6)-YEAR($E251))*12+MONTH('Settings'!$B$6)-MONTH($E251)-IF(DAY('Settings'!$B$6)&lt;DAY($E251),1,0))))))</f>
        <v/>
      </c>
      <c r="X251" s="15">
        <f>IF($L251="","",$L251-N($O251))</f>
        <v/>
      </c>
      <c r="Y251" s="15">
        <f>IF($W251="","",MAX(0,$W251-N($O251)))</f>
        <v/>
      </c>
      <c r="Z251" s="9">
        <f>IF(OR($A251="",$L251=""),"",IF($X251&lt;=0,"Paid in full",IF($Y251&lt;1,"On track",IF($Y251&lt;=$V251,"1 instalment behind","Behind"))))</f>
        <v/>
      </c>
      <c r="AA251" s="18">
        <f>IF($U251="Overdue",COUNTIF($U$3:$U251,"Overdue"),"")</f>
        <v/>
      </c>
    </row>
    <row r="252">
      <c r="A252" s="4" t="n"/>
      <c r="B252" s="4" t="n"/>
      <c r="C252" s="4" t="n"/>
      <c r="D252" s="4" t="n"/>
      <c r="E252" s="5" t="n"/>
      <c r="F252" s="6" t="n"/>
      <c r="G252" s="6" t="n"/>
      <c r="H252" s="5" t="n"/>
      <c r="I252" s="5" t="n"/>
      <c r="J252" s="6" t="n"/>
      <c r="K252" s="6" t="n"/>
      <c r="L252" s="14" t="n"/>
      <c r="M252" s="14" t="n"/>
      <c r="N252" s="6" t="n"/>
      <c r="O252" s="14" t="n"/>
      <c r="P252" s="4" t="n"/>
      <c r="Q252" s="15">
        <f>IF($E252="","",ROUND(('Settings'!$B$6-$E252)/30.4375,1))</f>
        <v/>
      </c>
      <c r="R252" s="16">
        <f>IF(OR($E252="",N($F252)=0),"",$Q252/$F252)</f>
        <v/>
      </c>
      <c r="S252" s="16">
        <f>IF(N($K252)=0,"",N($J252)/$K252)</f>
        <v/>
      </c>
      <c r="T252" s="17">
        <f>IF(OR($H252="",$G252=""),"",$H252+$G252*7)</f>
        <v/>
      </c>
      <c r="U252" s="9">
        <f>IF(OR($A252="",NOT(OR($P252="Active",$P252="Retention"))),"",IF(AND($I252&lt;&gt;"",$I252&gt;='Settings'!$B$6),"Booked",IF($T252="","",IF('Settings'!$B$6&gt;$T252+'Settings'!$B$7,"Overdue",IF($T252&lt;='Settings'!$B$6+7,"Due this week","On schedule")))))</f>
        <v/>
      </c>
      <c r="V252" s="15">
        <f>IF(OR($L252="",N($N252)=0),"",($L252-N($M252))/$N252)</f>
        <v/>
      </c>
      <c r="W252" s="15">
        <f>IF(OR($L252="",$E252=""),"",MIN($L252,N($M252)+N($V252)*MIN(N($N252),MAX(0,((YEAR('Settings'!$B$6)-YEAR($E252))*12+MONTH('Settings'!$B$6)-MONTH($E252)-IF(DAY('Settings'!$B$6)&lt;DAY($E252),1,0))))))</f>
        <v/>
      </c>
      <c r="X252" s="15">
        <f>IF($L252="","",$L252-N($O252))</f>
        <v/>
      </c>
      <c r="Y252" s="15">
        <f>IF($W252="","",MAX(0,$W252-N($O252)))</f>
        <v/>
      </c>
      <c r="Z252" s="9">
        <f>IF(OR($A252="",$L252=""),"",IF($X252&lt;=0,"Paid in full",IF($Y252&lt;1,"On track",IF($Y252&lt;=$V252,"1 instalment behind","Behind"))))</f>
        <v/>
      </c>
      <c r="AA252" s="18">
        <f>IF($U252="Overdue",COUNTIF($U$3:$U252,"Overdue"),"")</f>
        <v/>
      </c>
    </row>
    <row r="253">
      <c r="A253" s="4" t="n"/>
      <c r="B253" s="4" t="n"/>
      <c r="C253" s="4" t="n"/>
      <c r="D253" s="4" t="n"/>
      <c r="E253" s="5" t="n"/>
      <c r="F253" s="6" t="n"/>
      <c r="G253" s="6" t="n"/>
      <c r="H253" s="5" t="n"/>
      <c r="I253" s="5" t="n"/>
      <c r="J253" s="6" t="n"/>
      <c r="K253" s="6" t="n"/>
      <c r="L253" s="14" t="n"/>
      <c r="M253" s="14" t="n"/>
      <c r="N253" s="6" t="n"/>
      <c r="O253" s="14" t="n"/>
      <c r="P253" s="4" t="n"/>
      <c r="Q253" s="15">
        <f>IF($E253="","",ROUND(('Settings'!$B$6-$E253)/30.4375,1))</f>
        <v/>
      </c>
      <c r="R253" s="16">
        <f>IF(OR($E253="",N($F253)=0),"",$Q253/$F253)</f>
        <v/>
      </c>
      <c r="S253" s="16">
        <f>IF(N($K253)=0,"",N($J253)/$K253)</f>
        <v/>
      </c>
      <c r="T253" s="17">
        <f>IF(OR($H253="",$G253=""),"",$H253+$G253*7)</f>
        <v/>
      </c>
      <c r="U253" s="9">
        <f>IF(OR($A253="",NOT(OR($P253="Active",$P253="Retention"))),"",IF(AND($I253&lt;&gt;"",$I253&gt;='Settings'!$B$6),"Booked",IF($T253="","",IF('Settings'!$B$6&gt;$T253+'Settings'!$B$7,"Overdue",IF($T253&lt;='Settings'!$B$6+7,"Due this week","On schedule")))))</f>
        <v/>
      </c>
      <c r="V253" s="15">
        <f>IF(OR($L253="",N($N253)=0),"",($L253-N($M253))/$N253)</f>
        <v/>
      </c>
      <c r="W253" s="15">
        <f>IF(OR($L253="",$E253=""),"",MIN($L253,N($M253)+N($V253)*MIN(N($N253),MAX(0,((YEAR('Settings'!$B$6)-YEAR($E253))*12+MONTH('Settings'!$B$6)-MONTH($E253)-IF(DAY('Settings'!$B$6)&lt;DAY($E253),1,0))))))</f>
        <v/>
      </c>
      <c r="X253" s="15">
        <f>IF($L253="","",$L253-N($O253))</f>
        <v/>
      </c>
      <c r="Y253" s="15">
        <f>IF($W253="","",MAX(0,$W253-N($O253)))</f>
        <v/>
      </c>
      <c r="Z253" s="9">
        <f>IF(OR($A253="",$L253=""),"",IF($X253&lt;=0,"Paid in full",IF($Y253&lt;1,"On track",IF($Y253&lt;=$V253,"1 instalment behind","Behind"))))</f>
        <v/>
      </c>
      <c r="AA253" s="18">
        <f>IF($U253="Overdue",COUNTIF($U$3:$U253,"Overdue"),"")</f>
        <v/>
      </c>
    </row>
    <row r="254">
      <c r="A254" s="4" t="n"/>
      <c r="B254" s="4" t="n"/>
      <c r="C254" s="4" t="n"/>
      <c r="D254" s="4" t="n"/>
      <c r="E254" s="5" t="n"/>
      <c r="F254" s="6" t="n"/>
      <c r="G254" s="6" t="n"/>
      <c r="H254" s="5" t="n"/>
      <c r="I254" s="5" t="n"/>
      <c r="J254" s="6" t="n"/>
      <c r="K254" s="6" t="n"/>
      <c r="L254" s="14" t="n"/>
      <c r="M254" s="14" t="n"/>
      <c r="N254" s="6" t="n"/>
      <c r="O254" s="14" t="n"/>
      <c r="P254" s="4" t="n"/>
      <c r="Q254" s="15">
        <f>IF($E254="","",ROUND(('Settings'!$B$6-$E254)/30.4375,1))</f>
        <v/>
      </c>
      <c r="R254" s="16">
        <f>IF(OR($E254="",N($F254)=0),"",$Q254/$F254)</f>
        <v/>
      </c>
      <c r="S254" s="16">
        <f>IF(N($K254)=0,"",N($J254)/$K254)</f>
        <v/>
      </c>
      <c r="T254" s="17">
        <f>IF(OR($H254="",$G254=""),"",$H254+$G254*7)</f>
        <v/>
      </c>
      <c r="U254" s="9">
        <f>IF(OR($A254="",NOT(OR($P254="Active",$P254="Retention"))),"",IF(AND($I254&lt;&gt;"",$I254&gt;='Settings'!$B$6),"Booked",IF($T254="","",IF('Settings'!$B$6&gt;$T254+'Settings'!$B$7,"Overdue",IF($T254&lt;='Settings'!$B$6+7,"Due this week","On schedule")))))</f>
        <v/>
      </c>
      <c r="V254" s="15">
        <f>IF(OR($L254="",N($N254)=0),"",($L254-N($M254))/$N254)</f>
        <v/>
      </c>
      <c r="W254" s="15">
        <f>IF(OR($L254="",$E254=""),"",MIN($L254,N($M254)+N($V254)*MIN(N($N254),MAX(0,((YEAR('Settings'!$B$6)-YEAR($E254))*12+MONTH('Settings'!$B$6)-MONTH($E254)-IF(DAY('Settings'!$B$6)&lt;DAY($E254),1,0))))))</f>
        <v/>
      </c>
      <c r="X254" s="15">
        <f>IF($L254="","",$L254-N($O254))</f>
        <v/>
      </c>
      <c r="Y254" s="15">
        <f>IF($W254="","",MAX(0,$W254-N($O254)))</f>
        <v/>
      </c>
      <c r="Z254" s="9">
        <f>IF(OR($A254="",$L254=""),"",IF($X254&lt;=0,"Paid in full",IF($Y254&lt;1,"On track",IF($Y254&lt;=$V254,"1 instalment behind","Behind"))))</f>
        <v/>
      </c>
      <c r="AA254" s="18">
        <f>IF($U254="Overdue",COUNTIF($U$3:$U254,"Overdue"),"")</f>
        <v/>
      </c>
    </row>
    <row r="255">
      <c r="A255" s="4" t="n"/>
      <c r="B255" s="4" t="n"/>
      <c r="C255" s="4" t="n"/>
      <c r="D255" s="4" t="n"/>
      <c r="E255" s="5" t="n"/>
      <c r="F255" s="6" t="n"/>
      <c r="G255" s="6" t="n"/>
      <c r="H255" s="5" t="n"/>
      <c r="I255" s="5" t="n"/>
      <c r="J255" s="6" t="n"/>
      <c r="K255" s="6" t="n"/>
      <c r="L255" s="14" t="n"/>
      <c r="M255" s="14" t="n"/>
      <c r="N255" s="6" t="n"/>
      <c r="O255" s="14" t="n"/>
      <c r="P255" s="4" t="n"/>
      <c r="Q255" s="15">
        <f>IF($E255="","",ROUND(('Settings'!$B$6-$E255)/30.4375,1))</f>
        <v/>
      </c>
      <c r="R255" s="16">
        <f>IF(OR($E255="",N($F255)=0),"",$Q255/$F255)</f>
        <v/>
      </c>
      <c r="S255" s="16">
        <f>IF(N($K255)=0,"",N($J255)/$K255)</f>
        <v/>
      </c>
      <c r="T255" s="17">
        <f>IF(OR($H255="",$G255=""),"",$H255+$G255*7)</f>
        <v/>
      </c>
      <c r="U255" s="9">
        <f>IF(OR($A255="",NOT(OR($P255="Active",$P255="Retention"))),"",IF(AND($I255&lt;&gt;"",$I255&gt;='Settings'!$B$6),"Booked",IF($T255="","",IF('Settings'!$B$6&gt;$T255+'Settings'!$B$7,"Overdue",IF($T255&lt;='Settings'!$B$6+7,"Due this week","On schedule")))))</f>
        <v/>
      </c>
      <c r="V255" s="15">
        <f>IF(OR($L255="",N($N255)=0),"",($L255-N($M255))/$N255)</f>
        <v/>
      </c>
      <c r="W255" s="15">
        <f>IF(OR($L255="",$E255=""),"",MIN($L255,N($M255)+N($V255)*MIN(N($N255),MAX(0,((YEAR('Settings'!$B$6)-YEAR($E255))*12+MONTH('Settings'!$B$6)-MONTH($E255)-IF(DAY('Settings'!$B$6)&lt;DAY($E255),1,0))))))</f>
        <v/>
      </c>
      <c r="X255" s="15">
        <f>IF($L255="","",$L255-N($O255))</f>
        <v/>
      </c>
      <c r="Y255" s="15">
        <f>IF($W255="","",MAX(0,$W255-N($O255)))</f>
        <v/>
      </c>
      <c r="Z255" s="9">
        <f>IF(OR($A255="",$L255=""),"",IF($X255&lt;=0,"Paid in full",IF($Y255&lt;1,"On track",IF($Y255&lt;=$V255,"1 instalment behind","Behind"))))</f>
        <v/>
      </c>
      <c r="AA255" s="18">
        <f>IF($U255="Overdue",COUNTIF($U$3:$U255,"Overdue"),"")</f>
        <v/>
      </c>
    </row>
    <row r="256">
      <c r="A256" s="4" t="n"/>
      <c r="B256" s="4" t="n"/>
      <c r="C256" s="4" t="n"/>
      <c r="D256" s="4" t="n"/>
      <c r="E256" s="5" t="n"/>
      <c r="F256" s="6" t="n"/>
      <c r="G256" s="6" t="n"/>
      <c r="H256" s="5" t="n"/>
      <c r="I256" s="5" t="n"/>
      <c r="J256" s="6" t="n"/>
      <c r="K256" s="6" t="n"/>
      <c r="L256" s="14" t="n"/>
      <c r="M256" s="14" t="n"/>
      <c r="N256" s="6" t="n"/>
      <c r="O256" s="14" t="n"/>
      <c r="P256" s="4" t="n"/>
      <c r="Q256" s="15">
        <f>IF($E256="","",ROUND(('Settings'!$B$6-$E256)/30.4375,1))</f>
        <v/>
      </c>
      <c r="R256" s="16">
        <f>IF(OR($E256="",N($F256)=0),"",$Q256/$F256)</f>
        <v/>
      </c>
      <c r="S256" s="16">
        <f>IF(N($K256)=0,"",N($J256)/$K256)</f>
        <v/>
      </c>
      <c r="T256" s="17">
        <f>IF(OR($H256="",$G256=""),"",$H256+$G256*7)</f>
        <v/>
      </c>
      <c r="U256" s="9">
        <f>IF(OR($A256="",NOT(OR($P256="Active",$P256="Retention"))),"",IF(AND($I256&lt;&gt;"",$I256&gt;='Settings'!$B$6),"Booked",IF($T256="","",IF('Settings'!$B$6&gt;$T256+'Settings'!$B$7,"Overdue",IF($T256&lt;='Settings'!$B$6+7,"Due this week","On schedule")))))</f>
        <v/>
      </c>
      <c r="V256" s="15">
        <f>IF(OR($L256="",N($N256)=0),"",($L256-N($M256))/$N256)</f>
        <v/>
      </c>
      <c r="W256" s="15">
        <f>IF(OR($L256="",$E256=""),"",MIN($L256,N($M256)+N($V256)*MIN(N($N256),MAX(0,((YEAR('Settings'!$B$6)-YEAR($E256))*12+MONTH('Settings'!$B$6)-MONTH($E256)-IF(DAY('Settings'!$B$6)&lt;DAY($E256),1,0))))))</f>
        <v/>
      </c>
      <c r="X256" s="15">
        <f>IF($L256="","",$L256-N($O256))</f>
        <v/>
      </c>
      <c r="Y256" s="15">
        <f>IF($W256="","",MAX(0,$W256-N($O256)))</f>
        <v/>
      </c>
      <c r="Z256" s="9">
        <f>IF(OR($A256="",$L256=""),"",IF($X256&lt;=0,"Paid in full",IF($Y256&lt;1,"On track",IF($Y256&lt;=$V256,"1 instalment behind","Behind"))))</f>
        <v/>
      </c>
      <c r="AA256" s="18">
        <f>IF($U256="Overdue",COUNTIF($U$3:$U256,"Overdue"),"")</f>
        <v/>
      </c>
    </row>
    <row r="257">
      <c r="A257" s="4" t="n"/>
      <c r="B257" s="4" t="n"/>
      <c r="C257" s="4" t="n"/>
      <c r="D257" s="4" t="n"/>
      <c r="E257" s="5" t="n"/>
      <c r="F257" s="6" t="n"/>
      <c r="G257" s="6" t="n"/>
      <c r="H257" s="5" t="n"/>
      <c r="I257" s="5" t="n"/>
      <c r="J257" s="6" t="n"/>
      <c r="K257" s="6" t="n"/>
      <c r="L257" s="14" t="n"/>
      <c r="M257" s="14" t="n"/>
      <c r="N257" s="6" t="n"/>
      <c r="O257" s="14" t="n"/>
      <c r="P257" s="4" t="n"/>
      <c r="Q257" s="15">
        <f>IF($E257="","",ROUND(('Settings'!$B$6-$E257)/30.4375,1))</f>
        <v/>
      </c>
      <c r="R257" s="16">
        <f>IF(OR($E257="",N($F257)=0),"",$Q257/$F257)</f>
        <v/>
      </c>
      <c r="S257" s="16">
        <f>IF(N($K257)=0,"",N($J257)/$K257)</f>
        <v/>
      </c>
      <c r="T257" s="17">
        <f>IF(OR($H257="",$G257=""),"",$H257+$G257*7)</f>
        <v/>
      </c>
      <c r="U257" s="9">
        <f>IF(OR($A257="",NOT(OR($P257="Active",$P257="Retention"))),"",IF(AND($I257&lt;&gt;"",$I257&gt;='Settings'!$B$6),"Booked",IF($T257="","",IF('Settings'!$B$6&gt;$T257+'Settings'!$B$7,"Overdue",IF($T257&lt;='Settings'!$B$6+7,"Due this week","On schedule")))))</f>
        <v/>
      </c>
      <c r="V257" s="15">
        <f>IF(OR($L257="",N($N257)=0),"",($L257-N($M257))/$N257)</f>
        <v/>
      </c>
      <c r="W257" s="15">
        <f>IF(OR($L257="",$E257=""),"",MIN($L257,N($M257)+N($V257)*MIN(N($N257),MAX(0,((YEAR('Settings'!$B$6)-YEAR($E257))*12+MONTH('Settings'!$B$6)-MONTH($E257)-IF(DAY('Settings'!$B$6)&lt;DAY($E257),1,0))))))</f>
        <v/>
      </c>
      <c r="X257" s="15">
        <f>IF($L257="","",$L257-N($O257))</f>
        <v/>
      </c>
      <c r="Y257" s="15">
        <f>IF($W257="","",MAX(0,$W257-N($O257)))</f>
        <v/>
      </c>
      <c r="Z257" s="9">
        <f>IF(OR($A257="",$L257=""),"",IF($X257&lt;=0,"Paid in full",IF($Y257&lt;1,"On track",IF($Y257&lt;=$V257,"1 instalment behind","Behind"))))</f>
        <v/>
      </c>
      <c r="AA257" s="18">
        <f>IF($U257="Overdue",COUNTIF($U$3:$U257,"Overdue"),"")</f>
        <v/>
      </c>
    </row>
    <row r="258">
      <c r="A258" s="4" t="n"/>
      <c r="B258" s="4" t="n"/>
      <c r="C258" s="4" t="n"/>
      <c r="D258" s="4" t="n"/>
      <c r="E258" s="5" t="n"/>
      <c r="F258" s="6" t="n"/>
      <c r="G258" s="6" t="n"/>
      <c r="H258" s="5" t="n"/>
      <c r="I258" s="5" t="n"/>
      <c r="J258" s="6" t="n"/>
      <c r="K258" s="6" t="n"/>
      <c r="L258" s="14" t="n"/>
      <c r="M258" s="14" t="n"/>
      <c r="N258" s="6" t="n"/>
      <c r="O258" s="14" t="n"/>
      <c r="P258" s="4" t="n"/>
      <c r="Q258" s="15">
        <f>IF($E258="","",ROUND(('Settings'!$B$6-$E258)/30.4375,1))</f>
        <v/>
      </c>
      <c r="R258" s="16">
        <f>IF(OR($E258="",N($F258)=0),"",$Q258/$F258)</f>
        <v/>
      </c>
      <c r="S258" s="16">
        <f>IF(N($K258)=0,"",N($J258)/$K258)</f>
        <v/>
      </c>
      <c r="T258" s="17">
        <f>IF(OR($H258="",$G258=""),"",$H258+$G258*7)</f>
        <v/>
      </c>
      <c r="U258" s="9">
        <f>IF(OR($A258="",NOT(OR($P258="Active",$P258="Retention"))),"",IF(AND($I258&lt;&gt;"",$I258&gt;='Settings'!$B$6),"Booked",IF($T258="","",IF('Settings'!$B$6&gt;$T258+'Settings'!$B$7,"Overdue",IF($T258&lt;='Settings'!$B$6+7,"Due this week","On schedule")))))</f>
        <v/>
      </c>
      <c r="V258" s="15">
        <f>IF(OR($L258="",N($N258)=0),"",($L258-N($M258))/$N258)</f>
        <v/>
      </c>
      <c r="W258" s="15">
        <f>IF(OR($L258="",$E258=""),"",MIN($L258,N($M258)+N($V258)*MIN(N($N258),MAX(0,((YEAR('Settings'!$B$6)-YEAR($E258))*12+MONTH('Settings'!$B$6)-MONTH($E258)-IF(DAY('Settings'!$B$6)&lt;DAY($E258),1,0))))))</f>
        <v/>
      </c>
      <c r="X258" s="15">
        <f>IF($L258="","",$L258-N($O258))</f>
        <v/>
      </c>
      <c r="Y258" s="15">
        <f>IF($W258="","",MAX(0,$W258-N($O258)))</f>
        <v/>
      </c>
      <c r="Z258" s="9">
        <f>IF(OR($A258="",$L258=""),"",IF($X258&lt;=0,"Paid in full",IF($Y258&lt;1,"On track",IF($Y258&lt;=$V258,"1 instalment behind","Behind"))))</f>
        <v/>
      </c>
      <c r="AA258" s="18">
        <f>IF($U258="Overdue",COUNTIF($U$3:$U258,"Overdue"),"")</f>
        <v/>
      </c>
    </row>
    <row r="259">
      <c r="A259" s="4" t="n"/>
      <c r="B259" s="4" t="n"/>
      <c r="C259" s="4" t="n"/>
      <c r="D259" s="4" t="n"/>
      <c r="E259" s="5" t="n"/>
      <c r="F259" s="6" t="n"/>
      <c r="G259" s="6" t="n"/>
      <c r="H259" s="5" t="n"/>
      <c r="I259" s="5" t="n"/>
      <c r="J259" s="6" t="n"/>
      <c r="K259" s="6" t="n"/>
      <c r="L259" s="14" t="n"/>
      <c r="M259" s="14" t="n"/>
      <c r="N259" s="6" t="n"/>
      <c r="O259" s="14" t="n"/>
      <c r="P259" s="4" t="n"/>
      <c r="Q259" s="15">
        <f>IF($E259="","",ROUND(('Settings'!$B$6-$E259)/30.4375,1))</f>
        <v/>
      </c>
      <c r="R259" s="16">
        <f>IF(OR($E259="",N($F259)=0),"",$Q259/$F259)</f>
        <v/>
      </c>
      <c r="S259" s="16">
        <f>IF(N($K259)=0,"",N($J259)/$K259)</f>
        <v/>
      </c>
      <c r="T259" s="17">
        <f>IF(OR($H259="",$G259=""),"",$H259+$G259*7)</f>
        <v/>
      </c>
      <c r="U259" s="9">
        <f>IF(OR($A259="",NOT(OR($P259="Active",$P259="Retention"))),"",IF(AND($I259&lt;&gt;"",$I259&gt;='Settings'!$B$6),"Booked",IF($T259="","",IF('Settings'!$B$6&gt;$T259+'Settings'!$B$7,"Overdue",IF($T259&lt;='Settings'!$B$6+7,"Due this week","On schedule")))))</f>
        <v/>
      </c>
      <c r="V259" s="15">
        <f>IF(OR($L259="",N($N259)=0),"",($L259-N($M259))/$N259)</f>
        <v/>
      </c>
      <c r="W259" s="15">
        <f>IF(OR($L259="",$E259=""),"",MIN($L259,N($M259)+N($V259)*MIN(N($N259),MAX(0,((YEAR('Settings'!$B$6)-YEAR($E259))*12+MONTH('Settings'!$B$6)-MONTH($E259)-IF(DAY('Settings'!$B$6)&lt;DAY($E259),1,0))))))</f>
        <v/>
      </c>
      <c r="X259" s="15">
        <f>IF($L259="","",$L259-N($O259))</f>
        <v/>
      </c>
      <c r="Y259" s="15">
        <f>IF($W259="","",MAX(0,$W259-N($O259)))</f>
        <v/>
      </c>
      <c r="Z259" s="9">
        <f>IF(OR($A259="",$L259=""),"",IF($X259&lt;=0,"Paid in full",IF($Y259&lt;1,"On track",IF($Y259&lt;=$V259,"1 instalment behind","Behind"))))</f>
        <v/>
      </c>
      <c r="AA259" s="18">
        <f>IF($U259="Overdue",COUNTIF($U$3:$U259,"Overdue"),"")</f>
        <v/>
      </c>
    </row>
    <row r="260">
      <c r="A260" s="4" t="n"/>
      <c r="B260" s="4" t="n"/>
      <c r="C260" s="4" t="n"/>
      <c r="D260" s="4" t="n"/>
      <c r="E260" s="5" t="n"/>
      <c r="F260" s="6" t="n"/>
      <c r="G260" s="6" t="n"/>
      <c r="H260" s="5" t="n"/>
      <c r="I260" s="5" t="n"/>
      <c r="J260" s="6" t="n"/>
      <c r="K260" s="6" t="n"/>
      <c r="L260" s="14" t="n"/>
      <c r="M260" s="14" t="n"/>
      <c r="N260" s="6" t="n"/>
      <c r="O260" s="14" t="n"/>
      <c r="P260" s="4" t="n"/>
      <c r="Q260" s="15">
        <f>IF($E260="","",ROUND(('Settings'!$B$6-$E260)/30.4375,1))</f>
        <v/>
      </c>
      <c r="R260" s="16">
        <f>IF(OR($E260="",N($F260)=0),"",$Q260/$F260)</f>
        <v/>
      </c>
      <c r="S260" s="16">
        <f>IF(N($K260)=0,"",N($J260)/$K260)</f>
        <v/>
      </c>
      <c r="T260" s="17">
        <f>IF(OR($H260="",$G260=""),"",$H260+$G260*7)</f>
        <v/>
      </c>
      <c r="U260" s="9">
        <f>IF(OR($A260="",NOT(OR($P260="Active",$P260="Retention"))),"",IF(AND($I260&lt;&gt;"",$I260&gt;='Settings'!$B$6),"Booked",IF($T260="","",IF('Settings'!$B$6&gt;$T260+'Settings'!$B$7,"Overdue",IF($T260&lt;='Settings'!$B$6+7,"Due this week","On schedule")))))</f>
        <v/>
      </c>
      <c r="V260" s="15">
        <f>IF(OR($L260="",N($N260)=0),"",($L260-N($M260))/$N260)</f>
        <v/>
      </c>
      <c r="W260" s="15">
        <f>IF(OR($L260="",$E260=""),"",MIN($L260,N($M260)+N($V260)*MIN(N($N260),MAX(0,((YEAR('Settings'!$B$6)-YEAR($E260))*12+MONTH('Settings'!$B$6)-MONTH($E260)-IF(DAY('Settings'!$B$6)&lt;DAY($E260),1,0))))))</f>
        <v/>
      </c>
      <c r="X260" s="15">
        <f>IF($L260="","",$L260-N($O260))</f>
        <v/>
      </c>
      <c r="Y260" s="15">
        <f>IF($W260="","",MAX(0,$W260-N($O260)))</f>
        <v/>
      </c>
      <c r="Z260" s="9">
        <f>IF(OR($A260="",$L260=""),"",IF($X260&lt;=0,"Paid in full",IF($Y260&lt;1,"On track",IF($Y260&lt;=$V260,"1 instalment behind","Behind"))))</f>
        <v/>
      </c>
      <c r="AA260" s="18">
        <f>IF($U260="Overdue",COUNTIF($U$3:$U260,"Overdue"),"")</f>
        <v/>
      </c>
    </row>
    <row r="261">
      <c r="A261" s="4" t="n"/>
      <c r="B261" s="4" t="n"/>
      <c r="C261" s="4" t="n"/>
      <c r="D261" s="4" t="n"/>
      <c r="E261" s="5" t="n"/>
      <c r="F261" s="6" t="n"/>
      <c r="G261" s="6" t="n"/>
      <c r="H261" s="5" t="n"/>
      <c r="I261" s="5" t="n"/>
      <c r="J261" s="6" t="n"/>
      <c r="K261" s="6" t="n"/>
      <c r="L261" s="14" t="n"/>
      <c r="M261" s="14" t="n"/>
      <c r="N261" s="6" t="n"/>
      <c r="O261" s="14" t="n"/>
      <c r="P261" s="4" t="n"/>
      <c r="Q261" s="15">
        <f>IF($E261="","",ROUND(('Settings'!$B$6-$E261)/30.4375,1))</f>
        <v/>
      </c>
      <c r="R261" s="16">
        <f>IF(OR($E261="",N($F261)=0),"",$Q261/$F261)</f>
        <v/>
      </c>
      <c r="S261" s="16">
        <f>IF(N($K261)=0,"",N($J261)/$K261)</f>
        <v/>
      </c>
      <c r="T261" s="17">
        <f>IF(OR($H261="",$G261=""),"",$H261+$G261*7)</f>
        <v/>
      </c>
      <c r="U261" s="9">
        <f>IF(OR($A261="",NOT(OR($P261="Active",$P261="Retention"))),"",IF(AND($I261&lt;&gt;"",$I261&gt;='Settings'!$B$6),"Booked",IF($T261="","",IF('Settings'!$B$6&gt;$T261+'Settings'!$B$7,"Overdue",IF($T261&lt;='Settings'!$B$6+7,"Due this week","On schedule")))))</f>
        <v/>
      </c>
      <c r="V261" s="15">
        <f>IF(OR($L261="",N($N261)=0),"",($L261-N($M261))/$N261)</f>
        <v/>
      </c>
      <c r="W261" s="15">
        <f>IF(OR($L261="",$E261=""),"",MIN($L261,N($M261)+N($V261)*MIN(N($N261),MAX(0,((YEAR('Settings'!$B$6)-YEAR($E261))*12+MONTH('Settings'!$B$6)-MONTH($E261)-IF(DAY('Settings'!$B$6)&lt;DAY($E261),1,0))))))</f>
        <v/>
      </c>
      <c r="X261" s="15">
        <f>IF($L261="","",$L261-N($O261))</f>
        <v/>
      </c>
      <c r="Y261" s="15">
        <f>IF($W261="","",MAX(0,$W261-N($O261)))</f>
        <v/>
      </c>
      <c r="Z261" s="9">
        <f>IF(OR($A261="",$L261=""),"",IF($X261&lt;=0,"Paid in full",IF($Y261&lt;1,"On track",IF($Y261&lt;=$V261,"1 instalment behind","Behind"))))</f>
        <v/>
      </c>
      <c r="AA261" s="18">
        <f>IF($U261="Overdue",COUNTIF($U$3:$U261,"Overdue"),"")</f>
        <v/>
      </c>
    </row>
    <row r="262">
      <c r="A262" s="4" t="n"/>
      <c r="B262" s="4" t="n"/>
      <c r="C262" s="4" t="n"/>
      <c r="D262" s="4" t="n"/>
      <c r="E262" s="5" t="n"/>
      <c r="F262" s="6" t="n"/>
      <c r="G262" s="6" t="n"/>
      <c r="H262" s="5" t="n"/>
      <c r="I262" s="5" t="n"/>
      <c r="J262" s="6" t="n"/>
      <c r="K262" s="6" t="n"/>
      <c r="L262" s="14" t="n"/>
      <c r="M262" s="14" t="n"/>
      <c r="N262" s="6" t="n"/>
      <c r="O262" s="14" t="n"/>
      <c r="P262" s="4" t="n"/>
      <c r="Q262" s="15">
        <f>IF($E262="","",ROUND(('Settings'!$B$6-$E262)/30.4375,1))</f>
        <v/>
      </c>
      <c r="R262" s="16">
        <f>IF(OR($E262="",N($F262)=0),"",$Q262/$F262)</f>
        <v/>
      </c>
      <c r="S262" s="16">
        <f>IF(N($K262)=0,"",N($J262)/$K262)</f>
        <v/>
      </c>
      <c r="T262" s="17">
        <f>IF(OR($H262="",$G262=""),"",$H262+$G262*7)</f>
        <v/>
      </c>
      <c r="U262" s="9">
        <f>IF(OR($A262="",NOT(OR($P262="Active",$P262="Retention"))),"",IF(AND($I262&lt;&gt;"",$I262&gt;='Settings'!$B$6),"Booked",IF($T262="","",IF('Settings'!$B$6&gt;$T262+'Settings'!$B$7,"Overdue",IF($T262&lt;='Settings'!$B$6+7,"Due this week","On schedule")))))</f>
        <v/>
      </c>
      <c r="V262" s="15">
        <f>IF(OR($L262="",N($N262)=0),"",($L262-N($M262))/$N262)</f>
        <v/>
      </c>
      <c r="W262" s="15">
        <f>IF(OR($L262="",$E262=""),"",MIN($L262,N($M262)+N($V262)*MIN(N($N262),MAX(0,((YEAR('Settings'!$B$6)-YEAR($E262))*12+MONTH('Settings'!$B$6)-MONTH($E262)-IF(DAY('Settings'!$B$6)&lt;DAY($E262),1,0))))))</f>
        <v/>
      </c>
      <c r="X262" s="15">
        <f>IF($L262="","",$L262-N($O262))</f>
        <v/>
      </c>
      <c r="Y262" s="15">
        <f>IF($W262="","",MAX(0,$W262-N($O262)))</f>
        <v/>
      </c>
      <c r="Z262" s="9">
        <f>IF(OR($A262="",$L262=""),"",IF($X262&lt;=0,"Paid in full",IF($Y262&lt;1,"On track",IF($Y262&lt;=$V262,"1 instalment behind","Behind"))))</f>
        <v/>
      </c>
      <c r="AA262" s="18">
        <f>IF($U262="Overdue",COUNTIF($U$3:$U262,"Overdue"),"")</f>
        <v/>
      </c>
    </row>
    <row r="263">
      <c r="A263" s="4" t="n"/>
      <c r="B263" s="4" t="n"/>
      <c r="C263" s="4" t="n"/>
      <c r="D263" s="4" t="n"/>
      <c r="E263" s="5" t="n"/>
      <c r="F263" s="6" t="n"/>
      <c r="G263" s="6" t="n"/>
      <c r="H263" s="5" t="n"/>
      <c r="I263" s="5" t="n"/>
      <c r="J263" s="6" t="n"/>
      <c r="K263" s="6" t="n"/>
      <c r="L263" s="14" t="n"/>
      <c r="M263" s="14" t="n"/>
      <c r="N263" s="6" t="n"/>
      <c r="O263" s="14" t="n"/>
      <c r="P263" s="4" t="n"/>
      <c r="Q263" s="15">
        <f>IF($E263="","",ROUND(('Settings'!$B$6-$E263)/30.4375,1))</f>
        <v/>
      </c>
      <c r="R263" s="16">
        <f>IF(OR($E263="",N($F263)=0),"",$Q263/$F263)</f>
        <v/>
      </c>
      <c r="S263" s="16">
        <f>IF(N($K263)=0,"",N($J263)/$K263)</f>
        <v/>
      </c>
      <c r="T263" s="17">
        <f>IF(OR($H263="",$G263=""),"",$H263+$G263*7)</f>
        <v/>
      </c>
      <c r="U263" s="9">
        <f>IF(OR($A263="",NOT(OR($P263="Active",$P263="Retention"))),"",IF(AND($I263&lt;&gt;"",$I263&gt;='Settings'!$B$6),"Booked",IF($T263="","",IF('Settings'!$B$6&gt;$T263+'Settings'!$B$7,"Overdue",IF($T263&lt;='Settings'!$B$6+7,"Due this week","On schedule")))))</f>
        <v/>
      </c>
      <c r="V263" s="15">
        <f>IF(OR($L263="",N($N263)=0),"",($L263-N($M263))/$N263)</f>
        <v/>
      </c>
      <c r="W263" s="15">
        <f>IF(OR($L263="",$E263=""),"",MIN($L263,N($M263)+N($V263)*MIN(N($N263),MAX(0,((YEAR('Settings'!$B$6)-YEAR($E263))*12+MONTH('Settings'!$B$6)-MONTH($E263)-IF(DAY('Settings'!$B$6)&lt;DAY($E263),1,0))))))</f>
        <v/>
      </c>
      <c r="X263" s="15">
        <f>IF($L263="","",$L263-N($O263))</f>
        <v/>
      </c>
      <c r="Y263" s="15">
        <f>IF($W263="","",MAX(0,$W263-N($O263)))</f>
        <v/>
      </c>
      <c r="Z263" s="9">
        <f>IF(OR($A263="",$L263=""),"",IF($X263&lt;=0,"Paid in full",IF($Y263&lt;1,"On track",IF($Y263&lt;=$V263,"1 instalment behind","Behind"))))</f>
        <v/>
      </c>
      <c r="AA263" s="18">
        <f>IF($U263="Overdue",COUNTIF($U$3:$U263,"Overdue"),"")</f>
        <v/>
      </c>
    </row>
    <row r="264">
      <c r="A264" s="4" t="n"/>
      <c r="B264" s="4" t="n"/>
      <c r="C264" s="4" t="n"/>
      <c r="D264" s="4" t="n"/>
      <c r="E264" s="5" t="n"/>
      <c r="F264" s="6" t="n"/>
      <c r="G264" s="6" t="n"/>
      <c r="H264" s="5" t="n"/>
      <c r="I264" s="5" t="n"/>
      <c r="J264" s="6" t="n"/>
      <c r="K264" s="6" t="n"/>
      <c r="L264" s="14" t="n"/>
      <c r="M264" s="14" t="n"/>
      <c r="N264" s="6" t="n"/>
      <c r="O264" s="14" t="n"/>
      <c r="P264" s="4" t="n"/>
      <c r="Q264" s="15">
        <f>IF($E264="","",ROUND(('Settings'!$B$6-$E264)/30.4375,1))</f>
        <v/>
      </c>
      <c r="R264" s="16">
        <f>IF(OR($E264="",N($F264)=0),"",$Q264/$F264)</f>
        <v/>
      </c>
      <c r="S264" s="16">
        <f>IF(N($K264)=0,"",N($J264)/$K264)</f>
        <v/>
      </c>
      <c r="T264" s="17">
        <f>IF(OR($H264="",$G264=""),"",$H264+$G264*7)</f>
        <v/>
      </c>
      <c r="U264" s="9">
        <f>IF(OR($A264="",NOT(OR($P264="Active",$P264="Retention"))),"",IF(AND($I264&lt;&gt;"",$I264&gt;='Settings'!$B$6),"Booked",IF($T264="","",IF('Settings'!$B$6&gt;$T264+'Settings'!$B$7,"Overdue",IF($T264&lt;='Settings'!$B$6+7,"Due this week","On schedule")))))</f>
        <v/>
      </c>
      <c r="V264" s="15">
        <f>IF(OR($L264="",N($N264)=0),"",($L264-N($M264))/$N264)</f>
        <v/>
      </c>
      <c r="W264" s="15">
        <f>IF(OR($L264="",$E264=""),"",MIN($L264,N($M264)+N($V264)*MIN(N($N264),MAX(0,((YEAR('Settings'!$B$6)-YEAR($E264))*12+MONTH('Settings'!$B$6)-MONTH($E264)-IF(DAY('Settings'!$B$6)&lt;DAY($E264),1,0))))))</f>
        <v/>
      </c>
      <c r="X264" s="15">
        <f>IF($L264="","",$L264-N($O264))</f>
        <v/>
      </c>
      <c r="Y264" s="15">
        <f>IF($W264="","",MAX(0,$W264-N($O264)))</f>
        <v/>
      </c>
      <c r="Z264" s="9">
        <f>IF(OR($A264="",$L264=""),"",IF($X264&lt;=0,"Paid in full",IF($Y264&lt;1,"On track",IF($Y264&lt;=$V264,"1 instalment behind","Behind"))))</f>
        <v/>
      </c>
      <c r="AA264" s="18">
        <f>IF($U264="Overdue",COUNTIF($U$3:$U264,"Overdue"),"")</f>
        <v/>
      </c>
    </row>
    <row r="265">
      <c r="A265" s="4" t="n"/>
      <c r="B265" s="4" t="n"/>
      <c r="C265" s="4" t="n"/>
      <c r="D265" s="4" t="n"/>
      <c r="E265" s="5" t="n"/>
      <c r="F265" s="6" t="n"/>
      <c r="G265" s="6" t="n"/>
      <c r="H265" s="5" t="n"/>
      <c r="I265" s="5" t="n"/>
      <c r="J265" s="6" t="n"/>
      <c r="K265" s="6" t="n"/>
      <c r="L265" s="14" t="n"/>
      <c r="M265" s="14" t="n"/>
      <c r="N265" s="6" t="n"/>
      <c r="O265" s="14" t="n"/>
      <c r="P265" s="4" t="n"/>
      <c r="Q265" s="15">
        <f>IF($E265="","",ROUND(('Settings'!$B$6-$E265)/30.4375,1))</f>
        <v/>
      </c>
      <c r="R265" s="16">
        <f>IF(OR($E265="",N($F265)=0),"",$Q265/$F265)</f>
        <v/>
      </c>
      <c r="S265" s="16">
        <f>IF(N($K265)=0,"",N($J265)/$K265)</f>
        <v/>
      </c>
      <c r="T265" s="17">
        <f>IF(OR($H265="",$G265=""),"",$H265+$G265*7)</f>
        <v/>
      </c>
      <c r="U265" s="9">
        <f>IF(OR($A265="",NOT(OR($P265="Active",$P265="Retention"))),"",IF(AND($I265&lt;&gt;"",$I265&gt;='Settings'!$B$6),"Booked",IF($T265="","",IF('Settings'!$B$6&gt;$T265+'Settings'!$B$7,"Overdue",IF($T265&lt;='Settings'!$B$6+7,"Due this week","On schedule")))))</f>
        <v/>
      </c>
      <c r="V265" s="15">
        <f>IF(OR($L265="",N($N265)=0),"",($L265-N($M265))/$N265)</f>
        <v/>
      </c>
      <c r="W265" s="15">
        <f>IF(OR($L265="",$E265=""),"",MIN($L265,N($M265)+N($V265)*MIN(N($N265),MAX(0,((YEAR('Settings'!$B$6)-YEAR($E265))*12+MONTH('Settings'!$B$6)-MONTH($E265)-IF(DAY('Settings'!$B$6)&lt;DAY($E265),1,0))))))</f>
        <v/>
      </c>
      <c r="X265" s="15">
        <f>IF($L265="","",$L265-N($O265))</f>
        <v/>
      </c>
      <c r="Y265" s="15">
        <f>IF($W265="","",MAX(0,$W265-N($O265)))</f>
        <v/>
      </c>
      <c r="Z265" s="9">
        <f>IF(OR($A265="",$L265=""),"",IF($X265&lt;=0,"Paid in full",IF($Y265&lt;1,"On track",IF($Y265&lt;=$V265,"1 instalment behind","Behind"))))</f>
        <v/>
      </c>
      <c r="AA265" s="18">
        <f>IF($U265="Overdue",COUNTIF($U$3:$U265,"Overdue"),"")</f>
        <v/>
      </c>
    </row>
    <row r="266">
      <c r="A266" s="4" t="n"/>
      <c r="B266" s="4" t="n"/>
      <c r="C266" s="4" t="n"/>
      <c r="D266" s="4" t="n"/>
      <c r="E266" s="5" t="n"/>
      <c r="F266" s="6" t="n"/>
      <c r="G266" s="6" t="n"/>
      <c r="H266" s="5" t="n"/>
      <c r="I266" s="5" t="n"/>
      <c r="J266" s="6" t="n"/>
      <c r="K266" s="6" t="n"/>
      <c r="L266" s="14" t="n"/>
      <c r="M266" s="14" t="n"/>
      <c r="N266" s="6" t="n"/>
      <c r="O266" s="14" t="n"/>
      <c r="P266" s="4" t="n"/>
      <c r="Q266" s="15">
        <f>IF($E266="","",ROUND(('Settings'!$B$6-$E266)/30.4375,1))</f>
        <v/>
      </c>
      <c r="R266" s="16">
        <f>IF(OR($E266="",N($F266)=0),"",$Q266/$F266)</f>
        <v/>
      </c>
      <c r="S266" s="16">
        <f>IF(N($K266)=0,"",N($J266)/$K266)</f>
        <v/>
      </c>
      <c r="T266" s="17">
        <f>IF(OR($H266="",$G266=""),"",$H266+$G266*7)</f>
        <v/>
      </c>
      <c r="U266" s="9">
        <f>IF(OR($A266="",NOT(OR($P266="Active",$P266="Retention"))),"",IF(AND($I266&lt;&gt;"",$I266&gt;='Settings'!$B$6),"Booked",IF($T266="","",IF('Settings'!$B$6&gt;$T266+'Settings'!$B$7,"Overdue",IF($T266&lt;='Settings'!$B$6+7,"Due this week","On schedule")))))</f>
        <v/>
      </c>
      <c r="V266" s="15">
        <f>IF(OR($L266="",N($N266)=0),"",($L266-N($M266))/$N266)</f>
        <v/>
      </c>
      <c r="W266" s="15">
        <f>IF(OR($L266="",$E266=""),"",MIN($L266,N($M266)+N($V266)*MIN(N($N266),MAX(0,((YEAR('Settings'!$B$6)-YEAR($E266))*12+MONTH('Settings'!$B$6)-MONTH($E266)-IF(DAY('Settings'!$B$6)&lt;DAY($E266),1,0))))))</f>
        <v/>
      </c>
      <c r="X266" s="15">
        <f>IF($L266="","",$L266-N($O266))</f>
        <v/>
      </c>
      <c r="Y266" s="15">
        <f>IF($W266="","",MAX(0,$W266-N($O266)))</f>
        <v/>
      </c>
      <c r="Z266" s="9">
        <f>IF(OR($A266="",$L266=""),"",IF($X266&lt;=0,"Paid in full",IF($Y266&lt;1,"On track",IF($Y266&lt;=$V266,"1 instalment behind","Behind"))))</f>
        <v/>
      </c>
      <c r="AA266" s="18">
        <f>IF($U266="Overdue",COUNTIF($U$3:$U266,"Overdue"),"")</f>
        <v/>
      </c>
    </row>
    <row r="267">
      <c r="A267" s="4" t="n"/>
      <c r="B267" s="4" t="n"/>
      <c r="C267" s="4" t="n"/>
      <c r="D267" s="4" t="n"/>
      <c r="E267" s="5" t="n"/>
      <c r="F267" s="6" t="n"/>
      <c r="G267" s="6" t="n"/>
      <c r="H267" s="5" t="n"/>
      <c r="I267" s="5" t="n"/>
      <c r="J267" s="6" t="n"/>
      <c r="K267" s="6" t="n"/>
      <c r="L267" s="14" t="n"/>
      <c r="M267" s="14" t="n"/>
      <c r="N267" s="6" t="n"/>
      <c r="O267" s="14" t="n"/>
      <c r="P267" s="4" t="n"/>
      <c r="Q267" s="15">
        <f>IF($E267="","",ROUND(('Settings'!$B$6-$E267)/30.4375,1))</f>
        <v/>
      </c>
      <c r="R267" s="16">
        <f>IF(OR($E267="",N($F267)=0),"",$Q267/$F267)</f>
        <v/>
      </c>
      <c r="S267" s="16">
        <f>IF(N($K267)=0,"",N($J267)/$K267)</f>
        <v/>
      </c>
      <c r="T267" s="17">
        <f>IF(OR($H267="",$G267=""),"",$H267+$G267*7)</f>
        <v/>
      </c>
      <c r="U267" s="9">
        <f>IF(OR($A267="",NOT(OR($P267="Active",$P267="Retention"))),"",IF(AND($I267&lt;&gt;"",$I267&gt;='Settings'!$B$6),"Booked",IF($T267="","",IF('Settings'!$B$6&gt;$T267+'Settings'!$B$7,"Overdue",IF($T267&lt;='Settings'!$B$6+7,"Due this week","On schedule")))))</f>
        <v/>
      </c>
      <c r="V267" s="15">
        <f>IF(OR($L267="",N($N267)=0),"",($L267-N($M267))/$N267)</f>
        <v/>
      </c>
      <c r="W267" s="15">
        <f>IF(OR($L267="",$E267=""),"",MIN($L267,N($M267)+N($V267)*MIN(N($N267),MAX(0,((YEAR('Settings'!$B$6)-YEAR($E267))*12+MONTH('Settings'!$B$6)-MONTH($E267)-IF(DAY('Settings'!$B$6)&lt;DAY($E267),1,0))))))</f>
        <v/>
      </c>
      <c r="X267" s="15">
        <f>IF($L267="","",$L267-N($O267))</f>
        <v/>
      </c>
      <c r="Y267" s="15">
        <f>IF($W267="","",MAX(0,$W267-N($O267)))</f>
        <v/>
      </c>
      <c r="Z267" s="9">
        <f>IF(OR($A267="",$L267=""),"",IF($X267&lt;=0,"Paid in full",IF($Y267&lt;1,"On track",IF($Y267&lt;=$V267,"1 instalment behind","Behind"))))</f>
        <v/>
      </c>
      <c r="AA267" s="18">
        <f>IF($U267="Overdue",COUNTIF($U$3:$U267,"Overdue"),"")</f>
        <v/>
      </c>
    </row>
    <row r="268">
      <c r="A268" s="4" t="n"/>
      <c r="B268" s="4" t="n"/>
      <c r="C268" s="4" t="n"/>
      <c r="D268" s="4" t="n"/>
      <c r="E268" s="5" t="n"/>
      <c r="F268" s="6" t="n"/>
      <c r="G268" s="6" t="n"/>
      <c r="H268" s="5" t="n"/>
      <c r="I268" s="5" t="n"/>
      <c r="J268" s="6" t="n"/>
      <c r="K268" s="6" t="n"/>
      <c r="L268" s="14" t="n"/>
      <c r="M268" s="14" t="n"/>
      <c r="N268" s="6" t="n"/>
      <c r="O268" s="14" t="n"/>
      <c r="P268" s="4" t="n"/>
      <c r="Q268" s="15">
        <f>IF($E268="","",ROUND(('Settings'!$B$6-$E268)/30.4375,1))</f>
        <v/>
      </c>
      <c r="R268" s="16">
        <f>IF(OR($E268="",N($F268)=0),"",$Q268/$F268)</f>
        <v/>
      </c>
      <c r="S268" s="16">
        <f>IF(N($K268)=0,"",N($J268)/$K268)</f>
        <v/>
      </c>
      <c r="T268" s="17">
        <f>IF(OR($H268="",$G268=""),"",$H268+$G268*7)</f>
        <v/>
      </c>
      <c r="U268" s="9">
        <f>IF(OR($A268="",NOT(OR($P268="Active",$P268="Retention"))),"",IF(AND($I268&lt;&gt;"",$I268&gt;='Settings'!$B$6),"Booked",IF($T268="","",IF('Settings'!$B$6&gt;$T268+'Settings'!$B$7,"Overdue",IF($T268&lt;='Settings'!$B$6+7,"Due this week","On schedule")))))</f>
        <v/>
      </c>
      <c r="V268" s="15">
        <f>IF(OR($L268="",N($N268)=0),"",($L268-N($M268))/$N268)</f>
        <v/>
      </c>
      <c r="W268" s="15">
        <f>IF(OR($L268="",$E268=""),"",MIN($L268,N($M268)+N($V268)*MIN(N($N268),MAX(0,((YEAR('Settings'!$B$6)-YEAR($E268))*12+MONTH('Settings'!$B$6)-MONTH($E268)-IF(DAY('Settings'!$B$6)&lt;DAY($E268),1,0))))))</f>
        <v/>
      </c>
      <c r="X268" s="15">
        <f>IF($L268="","",$L268-N($O268))</f>
        <v/>
      </c>
      <c r="Y268" s="15">
        <f>IF($W268="","",MAX(0,$W268-N($O268)))</f>
        <v/>
      </c>
      <c r="Z268" s="9">
        <f>IF(OR($A268="",$L268=""),"",IF($X268&lt;=0,"Paid in full",IF($Y268&lt;1,"On track",IF($Y268&lt;=$V268,"1 instalment behind","Behind"))))</f>
        <v/>
      </c>
      <c r="AA268" s="18">
        <f>IF($U268="Overdue",COUNTIF($U$3:$U268,"Overdue"),"")</f>
        <v/>
      </c>
    </row>
    <row r="269">
      <c r="A269" s="4" t="n"/>
      <c r="B269" s="4" t="n"/>
      <c r="C269" s="4" t="n"/>
      <c r="D269" s="4" t="n"/>
      <c r="E269" s="5" t="n"/>
      <c r="F269" s="6" t="n"/>
      <c r="G269" s="6" t="n"/>
      <c r="H269" s="5" t="n"/>
      <c r="I269" s="5" t="n"/>
      <c r="J269" s="6" t="n"/>
      <c r="K269" s="6" t="n"/>
      <c r="L269" s="14" t="n"/>
      <c r="M269" s="14" t="n"/>
      <c r="N269" s="6" t="n"/>
      <c r="O269" s="14" t="n"/>
      <c r="P269" s="4" t="n"/>
      <c r="Q269" s="15">
        <f>IF($E269="","",ROUND(('Settings'!$B$6-$E269)/30.4375,1))</f>
        <v/>
      </c>
      <c r="R269" s="16">
        <f>IF(OR($E269="",N($F269)=0),"",$Q269/$F269)</f>
        <v/>
      </c>
      <c r="S269" s="16">
        <f>IF(N($K269)=0,"",N($J269)/$K269)</f>
        <v/>
      </c>
      <c r="T269" s="17">
        <f>IF(OR($H269="",$G269=""),"",$H269+$G269*7)</f>
        <v/>
      </c>
      <c r="U269" s="9">
        <f>IF(OR($A269="",NOT(OR($P269="Active",$P269="Retention"))),"",IF(AND($I269&lt;&gt;"",$I269&gt;='Settings'!$B$6),"Booked",IF($T269="","",IF('Settings'!$B$6&gt;$T269+'Settings'!$B$7,"Overdue",IF($T269&lt;='Settings'!$B$6+7,"Due this week","On schedule")))))</f>
        <v/>
      </c>
      <c r="V269" s="15">
        <f>IF(OR($L269="",N($N269)=0),"",($L269-N($M269))/$N269)</f>
        <v/>
      </c>
      <c r="W269" s="15">
        <f>IF(OR($L269="",$E269=""),"",MIN($L269,N($M269)+N($V269)*MIN(N($N269),MAX(0,((YEAR('Settings'!$B$6)-YEAR($E269))*12+MONTH('Settings'!$B$6)-MONTH($E269)-IF(DAY('Settings'!$B$6)&lt;DAY($E269),1,0))))))</f>
        <v/>
      </c>
      <c r="X269" s="15">
        <f>IF($L269="","",$L269-N($O269))</f>
        <v/>
      </c>
      <c r="Y269" s="15">
        <f>IF($W269="","",MAX(0,$W269-N($O269)))</f>
        <v/>
      </c>
      <c r="Z269" s="9">
        <f>IF(OR($A269="",$L269=""),"",IF($X269&lt;=0,"Paid in full",IF($Y269&lt;1,"On track",IF($Y269&lt;=$V269,"1 instalment behind","Behind"))))</f>
        <v/>
      </c>
      <c r="AA269" s="18">
        <f>IF($U269="Overdue",COUNTIF($U$3:$U269,"Overdue"),"")</f>
        <v/>
      </c>
    </row>
    <row r="270">
      <c r="A270" s="4" t="n"/>
      <c r="B270" s="4" t="n"/>
      <c r="C270" s="4" t="n"/>
      <c r="D270" s="4" t="n"/>
      <c r="E270" s="5" t="n"/>
      <c r="F270" s="6" t="n"/>
      <c r="G270" s="6" t="n"/>
      <c r="H270" s="5" t="n"/>
      <c r="I270" s="5" t="n"/>
      <c r="J270" s="6" t="n"/>
      <c r="K270" s="6" t="n"/>
      <c r="L270" s="14" t="n"/>
      <c r="M270" s="14" t="n"/>
      <c r="N270" s="6" t="n"/>
      <c r="O270" s="14" t="n"/>
      <c r="P270" s="4" t="n"/>
      <c r="Q270" s="15">
        <f>IF($E270="","",ROUND(('Settings'!$B$6-$E270)/30.4375,1))</f>
        <v/>
      </c>
      <c r="R270" s="16">
        <f>IF(OR($E270="",N($F270)=0),"",$Q270/$F270)</f>
        <v/>
      </c>
      <c r="S270" s="16">
        <f>IF(N($K270)=0,"",N($J270)/$K270)</f>
        <v/>
      </c>
      <c r="T270" s="17">
        <f>IF(OR($H270="",$G270=""),"",$H270+$G270*7)</f>
        <v/>
      </c>
      <c r="U270" s="9">
        <f>IF(OR($A270="",NOT(OR($P270="Active",$P270="Retention"))),"",IF(AND($I270&lt;&gt;"",$I270&gt;='Settings'!$B$6),"Booked",IF($T270="","",IF('Settings'!$B$6&gt;$T270+'Settings'!$B$7,"Overdue",IF($T270&lt;='Settings'!$B$6+7,"Due this week","On schedule")))))</f>
        <v/>
      </c>
      <c r="V270" s="15">
        <f>IF(OR($L270="",N($N270)=0),"",($L270-N($M270))/$N270)</f>
        <v/>
      </c>
      <c r="W270" s="15">
        <f>IF(OR($L270="",$E270=""),"",MIN($L270,N($M270)+N($V270)*MIN(N($N270),MAX(0,((YEAR('Settings'!$B$6)-YEAR($E270))*12+MONTH('Settings'!$B$6)-MONTH($E270)-IF(DAY('Settings'!$B$6)&lt;DAY($E270),1,0))))))</f>
        <v/>
      </c>
      <c r="X270" s="15">
        <f>IF($L270="","",$L270-N($O270))</f>
        <v/>
      </c>
      <c r="Y270" s="15">
        <f>IF($W270="","",MAX(0,$W270-N($O270)))</f>
        <v/>
      </c>
      <c r="Z270" s="9">
        <f>IF(OR($A270="",$L270=""),"",IF($X270&lt;=0,"Paid in full",IF($Y270&lt;1,"On track",IF($Y270&lt;=$V270,"1 instalment behind","Behind"))))</f>
        <v/>
      </c>
      <c r="AA270" s="18">
        <f>IF($U270="Overdue",COUNTIF($U$3:$U270,"Overdue"),"")</f>
        <v/>
      </c>
    </row>
    <row r="271">
      <c r="A271" s="4" t="n"/>
      <c r="B271" s="4" t="n"/>
      <c r="C271" s="4" t="n"/>
      <c r="D271" s="4" t="n"/>
      <c r="E271" s="5" t="n"/>
      <c r="F271" s="6" t="n"/>
      <c r="G271" s="6" t="n"/>
      <c r="H271" s="5" t="n"/>
      <c r="I271" s="5" t="n"/>
      <c r="J271" s="6" t="n"/>
      <c r="K271" s="6" t="n"/>
      <c r="L271" s="14" t="n"/>
      <c r="M271" s="14" t="n"/>
      <c r="N271" s="6" t="n"/>
      <c r="O271" s="14" t="n"/>
      <c r="P271" s="4" t="n"/>
      <c r="Q271" s="15">
        <f>IF($E271="","",ROUND(('Settings'!$B$6-$E271)/30.4375,1))</f>
        <v/>
      </c>
      <c r="R271" s="16">
        <f>IF(OR($E271="",N($F271)=0),"",$Q271/$F271)</f>
        <v/>
      </c>
      <c r="S271" s="16">
        <f>IF(N($K271)=0,"",N($J271)/$K271)</f>
        <v/>
      </c>
      <c r="T271" s="17">
        <f>IF(OR($H271="",$G271=""),"",$H271+$G271*7)</f>
        <v/>
      </c>
      <c r="U271" s="9">
        <f>IF(OR($A271="",NOT(OR($P271="Active",$P271="Retention"))),"",IF(AND($I271&lt;&gt;"",$I271&gt;='Settings'!$B$6),"Booked",IF($T271="","",IF('Settings'!$B$6&gt;$T271+'Settings'!$B$7,"Overdue",IF($T271&lt;='Settings'!$B$6+7,"Due this week","On schedule")))))</f>
        <v/>
      </c>
      <c r="V271" s="15">
        <f>IF(OR($L271="",N($N271)=0),"",($L271-N($M271))/$N271)</f>
        <v/>
      </c>
      <c r="W271" s="15">
        <f>IF(OR($L271="",$E271=""),"",MIN($L271,N($M271)+N($V271)*MIN(N($N271),MAX(0,((YEAR('Settings'!$B$6)-YEAR($E271))*12+MONTH('Settings'!$B$6)-MONTH($E271)-IF(DAY('Settings'!$B$6)&lt;DAY($E271),1,0))))))</f>
        <v/>
      </c>
      <c r="X271" s="15">
        <f>IF($L271="","",$L271-N($O271))</f>
        <v/>
      </c>
      <c r="Y271" s="15">
        <f>IF($W271="","",MAX(0,$W271-N($O271)))</f>
        <v/>
      </c>
      <c r="Z271" s="9">
        <f>IF(OR($A271="",$L271=""),"",IF($X271&lt;=0,"Paid in full",IF($Y271&lt;1,"On track",IF($Y271&lt;=$V271,"1 instalment behind","Behind"))))</f>
        <v/>
      </c>
      <c r="AA271" s="18">
        <f>IF($U271="Overdue",COUNTIF($U$3:$U271,"Overdue"),"")</f>
        <v/>
      </c>
    </row>
    <row r="272">
      <c r="A272" s="4" t="n"/>
      <c r="B272" s="4" t="n"/>
      <c r="C272" s="4" t="n"/>
      <c r="D272" s="4" t="n"/>
      <c r="E272" s="5" t="n"/>
      <c r="F272" s="6" t="n"/>
      <c r="G272" s="6" t="n"/>
      <c r="H272" s="5" t="n"/>
      <c r="I272" s="5" t="n"/>
      <c r="J272" s="6" t="n"/>
      <c r="K272" s="6" t="n"/>
      <c r="L272" s="14" t="n"/>
      <c r="M272" s="14" t="n"/>
      <c r="N272" s="6" t="n"/>
      <c r="O272" s="14" t="n"/>
      <c r="P272" s="4" t="n"/>
      <c r="Q272" s="15">
        <f>IF($E272="","",ROUND(('Settings'!$B$6-$E272)/30.4375,1))</f>
        <v/>
      </c>
      <c r="R272" s="16">
        <f>IF(OR($E272="",N($F272)=0),"",$Q272/$F272)</f>
        <v/>
      </c>
      <c r="S272" s="16">
        <f>IF(N($K272)=0,"",N($J272)/$K272)</f>
        <v/>
      </c>
      <c r="T272" s="17">
        <f>IF(OR($H272="",$G272=""),"",$H272+$G272*7)</f>
        <v/>
      </c>
      <c r="U272" s="9">
        <f>IF(OR($A272="",NOT(OR($P272="Active",$P272="Retention"))),"",IF(AND($I272&lt;&gt;"",$I272&gt;='Settings'!$B$6),"Booked",IF($T272="","",IF('Settings'!$B$6&gt;$T272+'Settings'!$B$7,"Overdue",IF($T272&lt;='Settings'!$B$6+7,"Due this week","On schedule")))))</f>
        <v/>
      </c>
      <c r="V272" s="15">
        <f>IF(OR($L272="",N($N272)=0),"",($L272-N($M272))/$N272)</f>
        <v/>
      </c>
      <c r="W272" s="15">
        <f>IF(OR($L272="",$E272=""),"",MIN($L272,N($M272)+N($V272)*MIN(N($N272),MAX(0,((YEAR('Settings'!$B$6)-YEAR($E272))*12+MONTH('Settings'!$B$6)-MONTH($E272)-IF(DAY('Settings'!$B$6)&lt;DAY($E272),1,0))))))</f>
        <v/>
      </c>
      <c r="X272" s="15">
        <f>IF($L272="","",$L272-N($O272))</f>
        <v/>
      </c>
      <c r="Y272" s="15">
        <f>IF($W272="","",MAX(0,$W272-N($O272)))</f>
        <v/>
      </c>
      <c r="Z272" s="9">
        <f>IF(OR($A272="",$L272=""),"",IF($X272&lt;=0,"Paid in full",IF($Y272&lt;1,"On track",IF($Y272&lt;=$V272,"1 instalment behind","Behind"))))</f>
        <v/>
      </c>
      <c r="AA272" s="18">
        <f>IF($U272="Overdue",COUNTIF($U$3:$U272,"Overdue"),"")</f>
        <v/>
      </c>
    </row>
    <row r="273">
      <c r="A273" s="4" t="n"/>
      <c r="B273" s="4" t="n"/>
      <c r="C273" s="4" t="n"/>
      <c r="D273" s="4" t="n"/>
      <c r="E273" s="5" t="n"/>
      <c r="F273" s="6" t="n"/>
      <c r="G273" s="6" t="n"/>
      <c r="H273" s="5" t="n"/>
      <c r="I273" s="5" t="n"/>
      <c r="J273" s="6" t="n"/>
      <c r="K273" s="6" t="n"/>
      <c r="L273" s="14" t="n"/>
      <c r="M273" s="14" t="n"/>
      <c r="N273" s="6" t="n"/>
      <c r="O273" s="14" t="n"/>
      <c r="P273" s="4" t="n"/>
      <c r="Q273" s="15">
        <f>IF($E273="","",ROUND(('Settings'!$B$6-$E273)/30.4375,1))</f>
        <v/>
      </c>
      <c r="R273" s="16">
        <f>IF(OR($E273="",N($F273)=0),"",$Q273/$F273)</f>
        <v/>
      </c>
      <c r="S273" s="16">
        <f>IF(N($K273)=0,"",N($J273)/$K273)</f>
        <v/>
      </c>
      <c r="T273" s="17">
        <f>IF(OR($H273="",$G273=""),"",$H273+$G273*7)</f>
        <v/>
      </c>
      <c r="U273" s="9">
        <f>IF(OR($A273="",NOT(OR($P273="Active",$P273="Retention"))),"",IF(AND($I273&lt;&gt;"",$I273&gt;='Settings'!$B$6),"Booked",IF($T273="","",IF('Settings'!$B$6&gt;$T273+'Settings'!$B$7,"Overdue",IF($T273&lt;='Settings'!$B$6+7,"Due this week","On schedule")))))</f>
        <v/>
      </c>
      <c r="V273" s="15">
        <f>IF(OR($L273="",N($N273)=0),"",($L273-N($M273))/$N273)</f>
        <v/>
      </c>
      <c r="W273" s="15">
        <f>IF(OR($L273="",$E273=""),"",MIN($L273,N($M273)+N($V273)*MIN(N($N273),MAX(0,((YEAR('Settings'!$B$6)-YEAR($E273))*12+MONTH('Settings'!$B$6)-MONTH($E273)-IF(DAY('Settings'!$B$6)&lt;DAY($E273),1,0))))))</f>
        <v/>
      </c>
      <c r="X273" s="15">
        <f>IF($L273="","",$L273-N($O273))</f>
        <v/>
      </c>
      <c r="Y273" s="15">
        <f>IF($W273="","",MAX(0,$W273-N($O273)))</f>
        <v/>
      </c>
      <c r="Z273" s="9">
        <f>IF(OR($A273="",$L273=""),"",IF($X273&lt;=0,"Paid in full",IF($Y273&lt;1,"On track",IF($Y273&lt;=$V273,"1 instalment behind","Behind"))))</f>
        <v/>
      </c>
      <c r="AA273" s="18">
        <f>IF($U273="Overdue",COUNTIF($U$3:$U273,"Overdue"),"")</f>
        <v/>
      </c>
    </row>
    <row r="274">
      <c r="A274" s="4" t="n"/>
      <c r="B274" s="4" t="n"/>
      <c r="C274" s="4" t="n"/>
      <c r="D274" s="4" t="n"/>
      <c r="E274" s="5" t="n"/>
      <c r="F274" s="6" t="n"/>
      <c r="G274" s="6" t="n"/>
      <c r="H274" s="5" t="n"/>
      <c r="I274" s="5" t="n"/>
      <c r="J274" s="6" t="n"/>
      <c r="K274" s="6" t="n"/>
      <c r="L274" s="14" t="n"/>
      <c r="M274" s="14" t="n"/>
      <c r="N274" s="6" t="n"/>
      <c r="O274" s="14" t="n"/>
      <c r="P274" s="4" t="n"/>
      <c r="Q274" s="15">
        <f>IF($E274="","",ROUND(('Settings'!$B$6-$E274)/30.4375,1))</f>
        <v/>
      </c>
      <c r="R274" s="16">
        <f>IF(OR($E274="",N($F274)=0),"",$Q274/$F274)</f>
        <v/>
      </c>
      <c r="S274" s="16">
        <f>IF(N($K274)=0,"",N($J274)/$K274)</f>
        <v/>
      </c>
      <c r="T274" s="17">
        <f>IF(OR($H274="",$G274=""),"",$H274+$G274*7)</f>
        <v/>
      </c>
      <c r="U274" s="9">
        <f>IF(OR($A274="",NOT(OR($P274="Active",$P274="Retention"))),"",IF(AND($I274&lt;&gt;"",$I274&gt;='Settings'!$B$6),"Booked",IF($T274="","",IF('Settings'!$B$6&gt;$T274+'Settings'!$B$7,"Overdue",IF($T274&lt;='Settings'!$B$6+7,"Due this week","On schedule")))))</f>
        <v/>
      </c>
      <c r="V274" s="15">
        <f>IF(OR($L274="",N($N274)=0),"",($L274-N($M274))/$N274)</f>
        <v/>
      </c>
      <c r="W274" s="15">
        <f>IF(OR($L274="",$E274=""),"",MIN($L274,N($M274)+N($V274)*MIN(N($N274),MAX(0,((YEAR('Settings'!$B$6)-YEAR($E274))*12+MONTH('Settings'!$B$6)-MONTH($E274)-IF(DAY('Settings'!$B$6)&lt;DAY($E274),1,0))))))</f>
        <v/>
      </c>
      <c r="X274" s="15">
        <f>IF($L274="","",$L274-N($O274))</f>
        <v/>
      </c>
      <c r="Y274" s="15">
        <f>IF($W274="","",MAX(0,$W274-N($O274)))</f>
        <v/>
      </c>
      <c r="Z274" s="9">
        <f>IF(OR($A274="",$L274=""),"",IF($X274&lt;=0,"Paid in full",IF($Y274&lt;1,"On track",IF($Y274&lt;=$V274,"1 instalment behind","Behind"))))</f>
        <v/>
      </c>
      <c r="AA274" s="18">
        <f>IF($U274="Overdue",COUNTIF($U$3:$U274,"Overdue"),"")</f>
        <v/>
      </c>
    </row>
    <row r="275">
      <c r="A275" s="4" t="n"/>
      <c r="B275" s="4" t="n"/>
      <c r="C275" s="4" t="n"/>
      <c r="D275" s="4" t="n"/>
      <c r="E275" s="5" t="n"/>
      <c r="F275" s="6" t="n"/>
      <c r="G275" s="6" t="n"/>
      <c r="H275" s="5" t="n"/>
      <c r="I275" s="5" t="n"/>
      <c r="J275" s="6" t="n"/>
      <c r="K275" s="6" t="n"/>
      <c r="L275" s="14" t="n"/>
      <c r="M275" s="14" t="n"/>
      <c r="N275" s="6" t="n"/>
      <c r="O275" s="14" t="n"/>
      <c r="P275" s="4" t="n"/>
      <c r="Q275" s="15">
        <f>IF($E275="","",ROUND(('Settings'!$B$6-$E275)/30.4375,1))</f>
        <v/>
      </c>
      <c r="R275" s="16">
        <f>IF(OR($E275="",N($F275)=0),"",$Q275/$F275)</f>
        <v/>
      </c>
      <c r="S275" s="16">
        <f>IF(N($K275)=0,"",N($J275)/$K275)</f>
        <v/>
      </c>
      <c r="T275" s="17">
        <f>IF(OR($H275="",$G275=""),"",$H275+$G275*7)</f>
        <v/>
      </c>
      <c r="U275" s="9">
        <f>IF(OR($A275="",NOT(OR($P275="Active",$P275="Retention"))),"",IF(AND($I275&lt;&gt;"",$I275&gt;='Settings'!$B$6),"Booked",IF($T275="","",IF('Settings'!$B$6&gt;$T275+'Settings'!$B$7,"Overdue",IF($T275&lt;='Settings'!$B$6+7,"Due this week","On schedule")))))</f>
        <v/>
      </c>
      <c r="V275" s="15">
        <f>IF(OR($L275="",N($N275)=0),"",($L275-N($M275))/$N275)</f>
        <v/>
      </c>
      <c r="W275" s="15">
        <f>IF(OR($L275="",$E275=""),"",MIN($L275,N($M275)+N($V275)*MIN(N($N275),MAX(0,((YEAR('Settings'!$B$6)-YEAR($E275))*12+MONTH('Settings'!$B$6)-MONTH($E275)-IF(DAY('Settings'!$B$6)&lt;DAY($E275),1,0))))))</f>
        <v/>
      </c>
      <c r="X275" s="15">
        <f>IF($L275="","",$L275-N($O275))</f>
        <v/>
      </c>
      <c r="Y275" s="15">
        <f>IF($W275="","",MAX(0,$W275-N($O275)))</f>
        <v/>
      </c>
      <c r="Z275" s="9">
        <f>IF(OR($A275="",$L275=""),"",IF($X275&lt;=0,"Paid in full",IF($Y275&lt;1,"On track",IF($Y275&lt;=$V275,"1 instalment behind","Behind"))))</f>
        <v/>
      </c>
      <c r="AA275" s="18">
        <f>IF($U275="Overdue",COUNTIF($U$3:$U275,"Overdue"),"")</f>
        <v/>
      </c>
    </row>
    <row r="276">
      <c r="A276" s="4" t="n"/>
      <c r="B276" s="4" t="n"/>
      <c r="C276" s="4" t="n"/>
      <c r="D276" s="4" t="n"/>
      <c r="E276" s="5" t="n"/>
      <c r="F276" s="6" t="n"/>
      <c r="G276" s="6" t="n"/>
      <c r="H276" s="5" t="n"/>
      <c r="I276" s="5" t="n"/>
      <c r="J276" s="6" t="n"/>
      <c r="K276" s="6" t="n"/>
      <c r="L276" s="14" t="n"/>
      <c r="M276" s="14" t="n"/>
      <c r="N276" s="6" t="n"/>
      <c r="O276" s="14" t="n"/>
      <c r="P276" s="4" t="n"/>
      <c r="Q276" s="15">
        <f>IF($E276="","",ROUND(('Settings'!$B$6-$E276)/30.4375,1))</f>
        <v/>
      </c>
      <c r="R276" s="16">
        <f>IF(OR($E276="",N($F276)=0),"",$Q276/$F276)</f>
        <v/>
      </c>
      <c r="S276" s="16">
        <f>IF(N($K276)=0,"",N($J276)/$K276)</f>
        <v/>
      </c>
      <c r="T276" s="17">
        <f>IF(OR($H276="",$G276=""),"",$H276+$G276*7)</f>
        <v/>
      </c>
      <c r="U276" s="9">
        <f>IF(OR($A276="",NOT(OR($P276="Active",$P276="Retention"))),"",IF(AND($I276&lt;&gt;"",$I276&gt;='Settings'!$B$6),"Booked",IF($T276="","",IF('Settings'!$B$6&gt;$T276+'Settings'!$B$7,"Overdue",IF($T276&lt;='Settings'!$B$6+7,"Due this week","On schedule")))))</f>
        <v/>
      </c>
      <c r="V276" s="15">
        <f>IF(OR($L276="",N($N276)=0),"",($L276-N($M276))/$N276)</f>
        <v/>
      </c>
      <c r="W276" s="15">
        <f>IF(OR($L276="",$E276=""),"",MIN($L276,N($M276)+N($V276)*MIN(N($N276),MAX(0,((YEAR('Settings'!$B$6)-YEAR($E276))*12+MONTH('Settings'!$B$6)-MONTH($E276)-IF(DAY('Settings'!$B$6)&lt;DAY($E276),1,0))))))</f>
        <v/>
      </c>
      <c r="X276" s="15">
        <f>IF($L276="","",$L276-N($O276))</f>
        <v/>
      </c>
      <c r="Y276" s="15">
        <f>IF($W276="","",MAX(0,$W276-N($O276)))</f>
        <v/>
      </c>
      <c r="Z276" s="9">
        <f>IF(OR($A276="",$L276=""),"",IF($X276&lt;=0,"Paid in full",IF($Y276&lt;1,"On track",IF($Y276&lt;=$V276,"1 instalment behind","Behind"))))</f>
        <v/>
      </c>
      <c r="AA276" s="18">
        <f>IF($U276="Overdue",COUNTIF($U$3:$U276,"Overdue"),"")</f>
        <v/>
      </c>
    </row>
    <row r="277">
      <c r="A277" s="4" t="n"/>
      <c r="B277" s="4" t="n"/>
      <c r="C277" s="4" t="n"/>
      <c r="D277" s="4" t="n"/>
      <c r="E277" s="5" t="n"/>
      <c r="F277" s="6" t="n"/>
      <c r="G277" s="6" t="n"/>
      <c r="H277" s="5" t="n"/>
      <c r="I277" s="5" t="n"/>
      <c r="J277" s="6" t="n"/>
      <c r="K277" s="6" t="n"/>
      <c r="L277" s="14" t="n"/>
      <c r="M277" s="14" t="n"/>
      <c r="N277" s="6" t="n"/>
      <c r="O277" s="14" t="n"/>
      <c r="P277" s="4" t="n"/>
      <c r="Q277" s="15">
        <f>IF($E277="","",ROUND(('Settings'!$B$6-$E277)/30.4375,1))</f>
        <v/>
      </c>
      <c r="R277" s="16">
        <f>IF(OR($E277="",N($F277)=0),"",$Q277/$F277)</f>
        <v/>
      </c>
      <c r="S277" s="16">
        <f>IF(N($K277)=0,"",N($J277)/$K277)</f>
        <v/>
      </c>
      <c r="T277" s="17">
        <f>IF(OR($H277="",$G277=""),"",$H277+$G277*7)</f>
        <v/>
      </c>
      <c r="U277" s="9">
        <f>IF(OR($A277="",NOT(OR($P277="Active",$P277="Retention"))),"",IF(AND($I277&lt;&gt;"",$I277&gt;='Settings'!$B$6),"Booked",IF($T277="","",IF('Settings'!$B$6&gt;$T277+'Settings'!$B$7,"Overdue",IF($T277&lt;='Settings'!$B$6+7,"Due this week","On schedule")))))</f>
        <v/>
      </c>
      <c r="V277" s="15">
        <f>IF(OR($L277="",N($N277)=0),"",($L277-N($M277))/$N277)</f>
        <v/>
      </c>
      <c r="W277" s="15">
        <f>IF(OR($L277="",$E277=""),"",MIN($L277,N($M277)+N($V277)*MIN(N($N277),MAX(0,((YEAR('Settings'!$B$6)-YEAR($E277))*12+MONTH('Settings'!$B$6)-MONTH($E277)-IF(DAY('Settings'!$B$6)&lt;DAY($E277),1,0))))))</f>
        <v/>
      </c>
      <c r="X277" s="15">
        <f>IF($L277="","",$L277-N($O277))</f>
        <v/>
      </c>
      <c r="Y277" s="15">
        <f>IF($W277="","",MAX(0,$W277-N($O277)))</f>
        <v/>
      </c>
      <c r="Z277" s="9">
        <f>IF(OR($A277="",$L277=""),"",IF($X277&lt;=0,"Paid in full",IF($Y277&lt;1,"On track",IF($Y277&lt;=$V277,"1 instalment behind","Behind"))))</f>
        <v/>
      </c>
      <c r="AA277" s="18">
        <f>IF($U277="Overdue",COUNTIF($U$3:$U277,"Overdue"),"")</f>
        <v/>
      </c>
    </row>
    <row r="278">
      <c r="A278" s="4" t="n"/>
      <c r="B278" s="4" t="n"/>
      <c r="C278" s="4" t="n"/>
      <c r="D278" s="4" t="n"/>
      <c r="E278" s="5" t="n"/>
      <c r="F278" s="6" t="n"/>
      <c r="G278" s="6" t="n"/>
      <c r="H278" s="5" t="n"/>
      <c r="I278" s="5" t="n"/>
      <c r="J278" s="6" t="n"/>
      <c r="K278" s="6" t="n"/>
      <c r="L278" s="14" t="n"/>
      <c r="M278" s="14" t="n"/>
      <c r="N278" s="6" t="n"/>
      <c r="O278" s="14" t="n"/>
      <c r="P278" s="4" t="n"/>
      <c r="Q278" s="15">
        <f>IF($E278="","",ROUND(('Settings'!$B$6-$E278)/30.4375,1))</f>
        <v/>
      </c>
      <c r="R278" s="16">
        <f>IF(OR($E278="",N($F278)=0),"",$Q278/$F278)</f>
        <v/>
      </c>
      <c r="S278" s="16">
        <f>IF(N($K278)=0,"",N($J278)/$K278)</f>
        <v/>
      </c>
      <c r="T278" s="17">
        <f>IF(OR($H278="",$G278=""),"",$H278+$G278*7)</f>
        <v/>
      </c>
      <c r="U278" s="9">
        <f>IF(OR($A278="",NOT(OR($P278="Active",$P278="Retention"))),"",IF(AND($I278&lt;&gt;"",$I278&gt;='Settings'!$B$6),"Booked",IF($T278="","",IF('Settings'!$B$6&gt;$T278+'Settings'!$B$7,"Overdue",IF($T278&lt;='Settings'!$B$6+7,"Due this week","On schedule")))))</f>
        <v/>
      </c>
      <c r="V278" s="15">
        <f>IF(OR($L278="",N($N278)=0),"",($L278-N($M278))/$N278)</f>
        <v/>
      </c>
      <c r="W278" s="15">
        <f>IF(OR($L278="",$E278=""),"",MIN($L278,N($M278)+N($V278)*MIN(N($N278),MAX(0,((YEAR('Settings'!$B$6)-YEAR($E278))*12+MONTH('Settings'!$B$6)-MONTH($E278)-IF(DAY('Settings'!$B$6)&lt;DAY($E278),1,0))))))</f>
        <v/>
      </c>
      <c r="X278" s="15">
        <f>IF($L278="","",$L278-N($O278))</f>
        <v/>
      </c>
      <c r="Y278" s="15">
        <f>IF($W278="","",MAX(0,$W278-N($O278)))</f>
        <v/>
      </c>
      <c r="Z278" s="9">
        <f>IF(OR($A278="",$L278=""),"",IF($X278&lt;=0,"Paid in full",IF($Y278&lt;1,"On track",IF($Y278&lt;=$V278,"1 instalment behind","Behind"))))</f>
        <v/>
      </c>
      <c r="AA278" s="18">
        <f>IF($U278="Overdue",COUNTIF($U$3:$U278,"Overdue"),"")</f>
        <v/>
      </c>
    </row>
    <row r="279">
      <c r="A279" s="4" t="n"/>
      <c r="B279" s="4" t="n"/>
      <c r="C279" s="4" t="n"/>
      <c r="D279" s="4" t="n"/>
      <c r="E279" s="5" t="n"/>
      <c r="F279" s="6" t="n"/>
      <c r="G279" s="6" t="n"/>
      <c r="H279" s="5" t="n"/>
      <c r="I279" s="5" t="n"/>
      <c r="J279" s="6" t="n"/>
      <c r="K279" s="6" t="n"/>
      <c r="L279" s="14" t="n"/>
      <c r="M279" s="14" t="n"/>
      <c r="N279" s="6" t="n"/>
      <c r="O279" s="14" t="n"/>
      <c r="P279" s="4" t="n"/>
      <c r="Q279" s="15">
        <f>IF($E279="","",ROUND(('Settings'!$B$6-$E279)/30.4375,1))</f>
        <v/>
      </c>
      <c r="R279" s="16">
        <f>IF(OR($E279="",N($F279)=0),"",$Q279/$F279)</f>
        <v/>
      </c>
      <c r="S279" s="16">
        <f>IF(N($K279)=0,"",N($J279)/$K279)</f>
        <v/>
      </c>
      <c r="T279" s="17">
        <f>IF(OR($H279="",$G279=""),"",$H279+$G279*7)</f>
        <v/>
      </c>
      <c r="U279" s="9">
        <f>IF(OR($A279="",NOT(OR($P279="Active",$P279="Retention"))),"",IF(AND($I279&lt;&gt;"",$I279&gt;='Settings'!$B$6),"Booked",IF($T279="","",IF('Settings'!$B$6&gt;$T279+'Settings'!$B$7,"Overdue",IF($T279&lt;='Settings'!$B$6+7,"Due this week","On schedule")))))</f>
        <v/>
      </c>
      <c r="V279" s="15">
        <f>IF(OR($L279="",N($N279)=0),"",($L279-N($M279))/$N279)</f>
        <v/>
      </c>
      <c r="W279" s="15">
        <f>IF(OR($L279="",$E279=""),"",MIN($L279,N($M279)+N($V279)*MIN(N($N279),MAX(0,((YEAR('Settings'!$B$6)-YEAR($E279))*12+MONTH('Settings'!$B$6)-MONTH($E279)-IF(DAY('Settings'!$B$6)&lt;DAY($E279),1,0))))))</f>
        <v/>
      </c>
      <c r="X279" s="15">
        <f>IF($L279="","",$L279-N($O279))</f>
        <v/>
      </c>
      <c r="Y279" s="15">
        <f>IF($W279="","",MAX(0,$W279-N($O279)))</f>
        <v/>
      </c>
      <c r="Z279" s="9">
        <f>IF(OR($A279="",$L279=""),"",IF($X279&lt;=0,"Paid in full",IF($Y279&lt;1,"On track",IF($Y279&lt;=$V279,"1 instalment behind","Behind"))))</f>
        <v/>
      </c>
      <c r="AA279" s="18">
        <f>IF($U279="Overdue",COUNTIF($U$3:$U279,"Overdue"),"")</f>
        <v/>
      </c>
    </row>
    <row r="280">
      <c r="A280" s="4" t="n"/>
      <c r="B280" s="4" t="n"/>
      <c r="C280" s="4" t="n"/>
      <c r="D280" s="4" t="n"/>
      <c r="E280" s="5" t="n"/>
      <c r="F280" s="6" t="n"/>
      <c r="G280" s="6" t="n"/>
      <c r="H280" s="5" t="n"/>
      <c r="I280" s="5" t="n"/>
      <c r="J280" s="6" t="n"/>
      <c r="K280" s="6" t="n"/>
      <c r="L280" s="14" t="n"/>
      <c r="M280" s="14" t="n"/>
      <c r="N280" s="6" t="n"/>
      <c r="O280" s="14" t="n"/>
      <c r="P280" s="4" t="n"/>
      <c r="Q280" s="15">
        <f>IF($E280="","",ROUND(('Settings'!$B$6-$E280)/30.4375,1))</f>
        <v/>
      </c>
      <c r="R280" s="16">
        <f>IF(OR($E280="",N($F280)=0),"",$Q280/$F280)</f>
        <v/>
      </c>
      <c r="S280" s="16">
        <f>IF(N($K280)=0,"",N($J280)/$K280)</f>
        <v/>
      </c>
      <c r="T280" s="17">
        <f>IF(OR($H280="",$G280=""),"",$H280+$G280*7)</f>
        <v/>
      </c>
      <c r="U280" s="9">
        <f>IF(OR($A280="",NOT(OR($P280="Active",$P280="Retention"))),"",IF(AND($I280&lt;&gt;"",$I280&gt;='Settings'!$B$6),"Booked",IF($T280="","",IF('Settings'!$B$6&gt;$T280+'Settings'!$B$7,"Overdue",IF($T280&lt;='Settings'!$B$6+7,"Due this week","On schedule")))))</f>
        <v/>
      </c>
      <c r="V280" s="15">
        <f>IF(OR($L280="",N($N280)=0),"",($L280-N($M280))/$N280)</f>
        <v/>
      </c>
      <c r="W280" s="15">
        <f>IF(OR($L280="",$E280=""),"",MIN($L280,N($M280)+N($V280)*MIN(N($N280),MAX(0,((YEAR('Settings'!$B$6)-YEAR($E280))*12+MONTH('Settings'!$B$6)-MONTH($E280)-IF(DAY('Settings'!$B$6)&lt;DAY($E280),1,0))))))</f>
        <v/>
      </c>
      <c r="X280" s="15">
        <f>IF($L280="","",$L280-N($O280))</f>
        <v/>
      </c>
      <c r="Y280" s="15">
        <f>IF($W280="","",MAX(0,$W280-N($O280)))</f>
        <v/>
      </c>
      <c r="Z280" s="9">
        <f>IF(OR($A280="",$L280=""),"",IF($X280&lt;=0,"Paid in full",IF($Y280&lt;1,"On track",IF($Y280&lt;=$V280,"1 instalment behind","Behind"))))</f>
        <v/>
      </c>
      <c r="AA280" s="18">
        <f>IF($U280="Overdue",COUNTIF($U$3:$U280,"Overdue"),"")</f>
        <v/>
      </c>
    </row>
    <row r="281">
      <c r="A281" s="4" t="n"/>
      <c r="B281" s="4" t="n"/>
      <c r="C281" s="4" t="n"/>
      <c r="D281" s="4" t="n"/>
      <c r="E281" s="5" t="n"/>
      <c r="F281" s="6" t="n"/>
      <c r="G281" s="6" t="n"/>
      <c r="H281" s="5" t="n"/>
      <c r="I281" s="5" t="n"/>
      <c r="J281" s="6" t="n"/>
      <c r="K281" s="6" t="n"/>
      <c r="L281" s="14" t="n"/>
      <c r="M281" s="14" t="n"/>
      <c r="N281" s="6" t="n"/>
      <c r="O281" s="14" t="n"/>
      <c r="P281" s="4" t="n"/>
      <c r="Q281" s="15">
        <f>IF($E281="","",ROUND(('Settings'!$B$6-$E281)/30.4375,1))</f>
        <v/>
      </c>
      <c r="R281" s="16">
        <f>IF(OR($E281="",N($F281)=0),"",$Q281/$F281)</f>
        <v/>
      </c>
      <c r="S281" s="16">
        <f>IF(N($K281)=0,"",N($J281)/$K281)</f>
        <v/>
      </c>
      <c r="T281" s="17">
        <f>IF(OR($H281="",$G281=""),"",$H281+$G281*7)</f>
        <v/>
      </c>
      <c r="U281" s="9">
        <f>IF(OR($A281="",NOT(OR($P281="Active",$P281="Retention"))),"",IF(AND($I281&lt;&gt;"",$I281&gt;='Settings'!$B$6),"Booked",IF($T281="","",IF('Settings'!$B$6&gt;$T281+'Settings'!$B$7,"Overdue",IF($T281&lt;='Settings'!$B$6+7,"Due this week","On schedule")))))</f>
        <v/>
      </c>
      <c r="V281" s="15">
        <f>IF(OR($L281="",N($N281)=0),"",($L281-N($M281))/$N281)</f>
        <v/>
      </c>
      <c r="W281" s="15">
        <f>IF(OR($L281="",$E281=""),"",MIN($L281,N($M281)+N($V281)*MIN(N($N281),MAX(0,((YEAR('Settings'!$B$6)-YEAR($E281))*12+MONTH('Settings'!$B$6)-MONTH($E281)-IF(DAY('Settings'!$B$6)&lt;DAY($E281),1,0))))))</f>
        <v/>
      </c>
      <c r="X281" s="15">
        <f>IF($L281="","",$L281-N($O281))</f>
        <v/>
      </c>
      <c r="Y281" s="15">
        <f>IF($W281="","",MAX(0,$W281-N($O281)))</f>
        <v/>
      </c>
      <c r="Z281" s="9">
        <f>IF(OR($A281="",$L281=""),"",IF($X281&lt;=0,"Paid in full",IF($Y281&lt;1,"On track",IF($Y281&lt;=$V281,"1 instalment behind","Behind"))))</f>
        <v/>
      </c>
      <c r="AA281" s="18">
        <f>IF($U281="Overdue",COUNTIF($U$3:$U281,"Overdue"),"")</f>
        <v/>
      </c>
    </row>
    <row r="282">
      <c r="A282" s="4" t="n"/>
      <c r="B282" s="4" t="n"/>
      <c r="C282" s="4" t="n"/>
      <c r="D282" s="4" t="n"/>
      <c r="E282" s="5" t="n"/>
      <c r="F282" s="6" t="n"/>
      <c r="G282" s="6" t="n"/>
      <c r="H282" s="5" t="n"/>
      <c r="I282" s="5" t="n"/>
      <c r="J282" s="6" t="n"/>
      <c r="K282" s="6" t="n"/>
      <c r="L282" s="14" t="n"/>
      <c r="M282" s="14" t="n"/>
      <c r="N282" s="6" t="n"/>
      <c r="O282" s="14" t="n"/>
      <c r="P282" s="4" t="n"/>
      <c r="Q282" s="15">
        <f>IF($E282="","",ROUND(('Settings'!$B$6-$E282)/30.4375,1))</f>
        <v/>
      </c>
      <c r="R282" s="16">
        <f>IF(OR($E282="",N($F282)=0),"",$Q282/$F282)</f>
        <v/>
      </c>
      <c r="S282" s="16">
        <f>IF(N($K282)=0,"",N($J282)/$K282)</f>
        <v/>
      </c>
      <c r="T282" s="17">
        <f>IF(OR($H282="",$G282=""),"",$H282+$G282*7)</f>
        <v/>
      </c>
      <c r="U282" s="9">
        <f>IF(OR($A282="",NOT(OR($P282="Active",$P282="Retention"))),"",IF(AND($I282&lt;&gt;"",$I282&gt;='Settings'!$B$6),"Booked",IF($T282="","",IF('Settings'!$B$6&gt;$T282+'Settings'!$B$7,"Overdue",IF($T282&lt;='Settings'!$B$6+7,"Due this week","On schedule")))))</f>
        <v/>
      </c>
      <c r="V282" s="15">
        <f>IF(OR($L282="",N($N282)=0),"",($L282-N($M282))/$N282)</f>
        <v/>
      </c>
      <c r="W282" s="15">
        <f>IF(OR($L282="",$E282=""),"",MIN($L282,N($M282)+N($V282)*MIN(N($N282),MAX(0,((YEAR('Settings'!$B$6)-YEAR($E282))*12+MONTH('Settings'!$B$6)-MONTH($E282)-IF(DAY('Settings'!$B$6)&lt;DAY($E282),1,0))))))</f>
        <v/>
      </c>
      <c r="X282" s="15">
        <f>IF($L282="","",$L282-N($O282))</f>
        <v/>
      </c>
      <c r="Y282" s="15">
        <f>IF($W282="","",MAX(0,$W282-N($O282)))</f>
        <v/>
      </c>
      <c r="Z282" s="9">
        <f>IF(OR($A282="",$L282=""),"",IF($X282&lt;=0,"Paid in full",IF($Y282&lt;1,"On track",IF($Y282&lt;=$V282,"1 instalment behind","Behind"))))</f>
        <v/>
      </c>
      <c r="AA282" s="18">
        <f>IF($U282="Overdue",COUNTIF($U$3:$U282,"Overdue"),"")</f>
        <v/>
      </c>
    </row>
    <row r="283">
      <c r="A283" s="4" t="n"/>
      <c r="B283" s="4" t="n"/>
      <c r="C283" s="4" t="n"/>
      <c r="D283" s="4" t="n"/>
      <c r="E283" s="5" t="n"/>
      <c r="F283" s="6" t="n"/>
      <c r="G283" s="6" t="n"/>
      <c r="H283" s="5" t="n"/>
      <c r="I283" s="5" t="n"/>
      <c r="J283" s="6" t="n"/>
      <c r="K283" s="6" t="n"/>
      <c r="L283" s="14" t="n"/>
      <c r="M283" s="14" t="n"/>
      <c r="N283" s="6" t="n"/>
      <c r="O283" s="14" t="n"/>
      <c r="P283" s="4" t="n"/>
      <c r="Q283" s="15">
        <f>IF($E283="","",ROUND(('Settings'!$B$6-$E283)/30.4375,1))</f>
        <v/>
      </c>
      <c r="R283" s="16">
        <f>IF(OR($E283="",N($F283)=0),"",$Q283/$F283)</f>
        <v/>
      </c>
      <c r="S283" s="16">
        <f>IF(N($K283)=0,"",N($J283)/$K283)</f>
        <v/>
      </c>
      <c r="T283" s="17">
        <f>IF(OR($H283="",$G283=""),"",$H283+$G283*7)</f>
        <v/>
      </c>
      <c r="U283" s="9">
        <f>IF(OR($A283="",NOT(OR($P283="Active",$P283="Retention"))),"",IF(AND($I283&lt;&gt;"",$I283&gt;='Settings'!$B$6),"Booked",IF($T283="","",IF('Settings'!$B$6&gt;$T283+'Settings'!$B$7,"Overdue",IF($T283&lt;='Settings'!$B$6+7,"Due this week","On schedule")))))</f>
        <v/>
      </c>
      <c r="V283" s="15">
        <f>IF(OR($L283="",N($N283)=0),"",($L283-N($M283))/$N283)</f>
        <v/>
      </c>
      <c r="W283" s="15">
        <f>IF(OR($L283="",$E283=""),"",MIN($L283,N($M283)+N($V283)*MIN(N($N283),MAX(0,((YEAR('Settings'!$B$6)-YEAR($E283))*12+MONTH('Settings'!$B$6)-MONTH($E283)-IF(DAY('Settings'!$B$6)&lt;DAY($E283),1,0))))))</f>
        <v/>
      </c>
      <c r="X283" s="15">
        <f>IF($L283="","",$L283-N($O283))</f>
        <v/>
      </c>
      <c r="Y283" s="15">
        <f>IF($W283="","",MAX(0,$W283-N($O283)))</f>
        <v/>
      </c>
      <c r="Z283" s="9">
        <f>IF(OR($A283="",$L283=""),"",IF($X283&lt;=0,"Paid in full",IF($Y283&lt;1,"On track",IF($Y283&lt;=$V283,"1 instalment behind","Behind"))))</f>
        <v/>
      </c>
      <c r="AA283" s="18">
        <f>IF($U283="Overdue",COUNTIF($U$3:$U283,"Overdue"),"")</f>
        <v/>
      </c>
    </row>
    <row r="284">
      <c r="A284" s="4" t="n"/>
      <c r="B284" s="4" t="n"/>
      <c r="C284" s="4" t="n"/>
      <c r="D284" s="4" t="n"/>
      <c r="E284" s="5" t="n"/>
      <c r="F284" s="6" t="n"/>
      <c r="G284" s="6" t="n"/>
      <c r="H284" s="5" t="n"/>
      <c r="I284" s="5" t="n"/>
      <c r="J284" s="6" t="n"/>
      <c r="K284" s="6" t="n"/>
      <c r="L284" s="14" t="n"/>
      <c r="M284" s="14" t="n"/>
      <c r="N284" s="6" t="n"/>
      <c r="O284" s="14" t="n"/>
      <c r="P284" s="4" t="n"/>
      <c r="Q284" s="15">
        <f>IF($E284="","",ROUND(('Settings'!$B$6-$E284)/30.4375,1))</f>
        <v/>
      </c>
      <c r="R284" s="16">
        <f>IF(OR($E284="",N($F284)=0),"",$Q284/$F284)</f>
        <v/>
      </c>
      <c r="S284" s="16">
        <f>IF(N($K284)=0,"",N($J284)/$K284)</f>
        <v/>
      </c>
      <c r="T284" s="17">
        <f>IF(OR($H284="",$G284=""),"",$H284+$G284*7)</f>
        <v/>
      </c>
      <c r="U284" s="9">
        <f>IF(OR($A284="",NOT(OR($P284="Active",$P284="Retention"))),"",IF(AND($I284&lt;&gt;"",$I284&gt;='Settings'!$B$6),"Booked",IF($T284="","",IF('Settings'!$B$6&gt;$T284+'Settings'!$B$7,"Overdue",IF($T284&lt;='Settings'!$B$6+7,"Due this week","On schedule")))))</f>
        <v/>
      </c>
      <c r="V284" s="15">
        <f>IF(OR($L284="",N($N284)=0),"",($L284-N($M284))/$N284)</f>
        <v/>
      </c>
      <c r="W284" s="15">
        <f>IF(OR($L284="",$E284=""),"",MIN($L284,N($M284)+N($V284)*MIN(N($N284),MAX(0,((YEAR('Settings'!$B$6)-YEAR($E284))*12+MONTH('Settings'!$B$6)-MONTH($E284)-IF(DAY('Settings'!$B$6)&lt;DAY($E284),1,0))))))</f>
        <v/>
      </c>
      <c r="X284" s="15">
        <f>IF($L284="","",$L284-N($O284))</f>
        <v/>
      </c>
      <c r="Y284" s="15">
        <f>IF($W284="","",MAX(0,$W284-N($O284)))</f>
        <v/>
      </c>
      <c r="Z284" s="9">
        <f>IF(OR($A284="",$L284=""),"",IF($X284&lt;=0,"Paid in full",IF($Y284&lt;1,"On track",IF($Y284&lt;=$V284,"1 instalment behind","Behind"))))</f>
        <v/>
      </c>
      <c r="AA284" s="18">
        <f>IF($U284="Overdue",COUNTIF($U$3:$U284,"Overdue"),"")</f>
        <v/>
      </c>
    </row>
    <row r="285">
      <c r="A285" s="4" t="n"/>
      <c r="B285" s="4" t="n"/>
      <c r="C285" s="4" t="n"/>
      <c r="D285" s="4" t="n"/>
      <c r="E285" s="5" t="n"/>
      <c r="F285" s="6" t="n"/>
      <c r="G285" s="6" t="n"/>
      <c r="H285" s="5" t="n"/>
      <c r="I285" s="5" t="n"/>
      <c r="J285" s="6" t="n"/>
      <c r="K285" s="6" t="n"/>
      <c r="L285" s="14" t="n"/>
      <c r="M285" s="14" t="n"/>
      <c r="N285" s="6" t="n"/>
      <c r="O285" s="14" t="n"/>
      <c r="P285" s="4" t="n"/>
      <c r="Q285" s="15">
        <f>IF($E285="","",ROUND(('Settings'!$B$6-$E285)/30.4375,1))</f>
        <v/>
      </c>
      <c r="R285" s="16">
        <f>IF(OR($E285="",N($F285)=0),"",$Q285/$F285)</f>
        <v/>
      </c>
      <c r="S285" s="16">
        <f>IF(N($K285)=0,"",N($J285)/$K285)</f>
        <v/>
      </c>
      <c r="T285" s="17">
        <f>IF(OR($H285="",$G285=""),"",$H285+$G285*7)</f>
        <v/>
      </c>
      <c r="U285" s="9">
        <f>IF(OR($A285="",NOT(OR($P285="Active",$P285="Retention"))),"",IF(AND($I285&lt;&gt;"",$I285&gt;='Settings'!$B$6),"Booked",IF($T285="","",IF('Settings'!$B$6&gt;$T285+'Settings'!$B$7,"Overdue",IF($T285&lt;='Settings'!$B$6+7,"Due this week","On schedule")))))</f>
        <v/>
      </c>
      <c r="V285" s="15">
        <f>IF(OR($L285="",N($N285)=0),"",($L285-N($M285))/$N285)</f>
        <v/>
      </c>
      <c r="W285" s="15">
        <f>IF(OR($L285="",$E285=""),"",MIN($L285,N($M285)+N($V285)*MIN(N($N285),MAX(0,((YEAR('Settings'!$B$6)-YEAR($E285))*12+MONTH('Settings'!$B$6)-MONTH($E285)-IF(DAY('Settings'!$B$6)&lt;DAY($E285),1,0))))))</f>
        <v/>
      </c>
      <c r="X285" s="15">
        <f>IF($L285="","",$L285-N($O285))</f>
        <v/>
      </c>
      <c r="Y285" s="15">
        <f>IF($W285="","",MAX(0,$W285-N($O285)))</f>
        <v/>
      </c>
      <c r="Z285" s="9">
        <f>IF(OR($A285="",$L285=""),"",IF($X285&lt;=0,"Paid in full",IF($Y285&lt;1,"On track",IF($Y285&lt;=$V285,"1 instalment behind","Behind"))))</f>
        <v/>
      </c>
      <c r="AA285" s="18">
        <f>IF($U285="Overdue",COUNTIF($U$3:$U285,"Overdue"),"")</f>
        <v/>
      </c>
    </row>
    <row r="286">
      <c r="A286" s="4" t="n"/>
      <c r="B286" s="4" t="n"/>
      <c r="C286" s="4" t="n"/>
      <c r="D286" s="4" t="n"/>
      <c r="E286" s="5" t="n"/>
      <c r="F286" s="6" t="n"/>
      <c r="G286" s="6" t="n"/>
      <c r="H286" s="5" t="n"/>
      <c r="I286" s="5" t="n"/>
      <c r="J286" s="6" t="n"/>
      <c r="K286" s="6" t="n"/>
      <c r="L286" s="14" t="n"/>
      <c r="M286" s="14" t="n"/>
      <c r="N286" s="6" t="n"/>
      <c r="O286" s="14" t="n"/>
      <c r="P286" s="4" t="n"/>
      <c r="Q286" s="15">
        <f>IF($E286="","",ROUND(('Settings'!$B$6-$E286)/30.4375,1))</f>
        <v/>
      </c>
      <c r="R286" s="16">
        <f>IF(OR($E286="",N($F286)=0),"",$Q286/$F286)</f>
        <v/>
      </c>
      <c r="S286" s="16">
        <f>IF(N($K286)=0,"",N($J286)/$K286)</f>
        <v/>
      </c>
      <c r="T286" s="17">
        <f>IF(OR($H286="",$G286=""),"",$H286+$G286*7)</f>
        <v/>
      </c>
      <c r="U286" s="9">
        <f>IF(OR($A286="",NOT(OR($P286="Active",$P286="Retention"))),"",IF(AND($I286&lt;&gt;"",$I286&gt;='Settings'!$B$6),"Booked",IF($T286="","",IF('Settings'!$B$6&gt;$T286+'Settings'!$B$7,"Overdue",IF($T286&lt;='Settings'!$B$6+7,"Due this week","On schedule")))))</f>
        <v/>
      </c>
      <c r="V286" s="15">
        <f>IF(OR($L286="",N($N286)=0),"",($L286-N($M286))/$N286)</f>
        <v/>
      </c>
      <c r="W286" s="15">
        <f>IF(OR($L286="",$E286=""),"",MIN($L286,N($M286)+N($V286)*MIN(N($N286),MAX(0,((YEAR('Settings'!$B$6)-YEAR($E286))*12+MONTH('Settings'!$B$6)-MONTH($E286)-IF(DAY('Settings'!$B$6)&lt;DAY($E286),1,0))))))</f>
        <v/>
      </c>
      <c r="X286" s="15">
        <f>IF($L286="","",$L286-N($O286))</f>
        <v/>
      </c>
      <c r="Y286" s="15">
        <f>IF($W286="","",MAX(0,$W286-N($O286)))</f>
        <v/>
      </c>
      <c r="Z286" s="9">
        <f>IF(OR($A286="",$L286=""),"",IF($X286&lt;=0,"Paid in full",IF($Y286&lt;1,"On track",IF($Y286&lt;=$V286,"1 instalment behind","Behind"))))</f>
        <v/>
      </c>
      <c r="AA286" s="18">
        <f>IF($U286="Overdue",COUNTIF($U$3:$U286,"Overdue"),"")</f>
        <v/>
      </c>
    </row>
    <row r="287">
      <c r="A287" s="4" t="n"/>
      <c r="B287" s="4" t="n"/>
      <c r="C287" s="4" t="n"/>
      <c r="D287" s="4" t="n"/>
      <c r="E287" s="5" t="n"/>
      <c r="F287" s="6" t="n"/>
      <c r="G287" s="6" t="n"/>
      <c r="H287" s="5" t="n"/>
      <c r="I287" s="5" t="n"/>
      <c r="J287" s="6" t="n"/>
      <c r="K287" s="6" t="n"/>
      <c r="L287" s="14" t="n"/>
      <c r="M287" s="14" t="n"/>
      <c r="N287" s="6" t="n"/>
      <c r="O287" s="14" t="n"/>
      <c r="P287" s="4" t="n"/>
      <c r="Q287" s="15">
        <f>IF($E287="","",ROUND(('Settings'!$B$6-$E287)/30.4375,1))</f>
        <v/>
      </c>
      <c r="R287" s="16">
        <f>IF(OR($E287="",N($F287)=0),"",$Q287/$F287)</f>
        <v/>
      </c>
      <c r="S287" s="16">
        <f>IF(N($K287)=0,"",N($J287)/$K287)</f>
        <v/>
      </c>
      <c r="T287" s="17">
        <f>IF(OR($H287="",$G287=""),"",$H287+$G287*7)</f>
        <v/>
      </c>
      <c r="U287" s="9">
        <f>IF(OR($A287="",NOT(OR($P287="Active",$P287="Retention"))),"",IF(AND($I287&lt;&gt;"",$I287&gt;='Settings'!$B$6),"Booked",IF($T287="","",IF('Settings'!$B$6&gt;$T287+'Settings'!$B$7,"Overdue",IF($T287&lt;='Settings'!$B$6+7,"Due this week","On schedule")))))</f>
        <v/>
      </c>
      <c r="V287" s="15">
        <f>IF(OR($L287="",N($N287)=0),"",($L287-N($M287))/$N287)</f>
        <v/>
      </c>
      <c r="W287" s="15">
        <f>IF(OR($L287="",$E287=""),"",MIN($L287,N($M287)+N($V287)*MIN(N($N287),MAX(0,((YEAR('Settings'!$B$6)-YEAR($E287))*12+MONTH('Settings'!$B$6)-MONTH($E287)-IF(DAY('Settings'!$B$6)&lt;DAY($E287),1,0))))))</f>
        <v/>
      </c>
      <c r="X287" s="15">
        <f>IF($L287="","",$L287-N($O287))</f>
        <v/>
      </c>
      <c r="Y287" s="15">
        <f>IF($W287="","",MAX(0,$W287-N($O287)))</f>
        <v/>
      </c>
      <c r="Z287" s="9">
        <f>IF(OR($A287="",$L287=""),"",IF($X287&lt;=0,"Paid in full",IF($Y287&lt;1,"On track",IF($Y287&lt;=$V287,"1 instalment behind","Behind"))))</f>
        <v/>
      </c>
      <c r="AA287" s="18">
        <f>IF($U287="Overdue",COUNTIF($U$3:$U287,"Overdue"),"")</f>
        <v/>
      </c>
    </row>
    <row r="288">
      <c r="A288" s="4" t="n"/>
      <c r="B288" s="4" t="n"/>
      <c r="C288" s="4" t="n"/>
      <c r="D288" s="4" t="n"/>
      <c r="E288" s="5" t="n"/>
      <c r="F288" s="6" t="n"/>
      <c r="G288" s="6" t="n"/>
      <c r="H288" s="5" t="n"/>
      <c r="I288" s="5" t="n"/>
      <c r="J288" s="6" t="n"/>
      <c r="K288" s="6" t="n"/>
      <c r="L288" s="14" t="n"/>
      <c r="M288" s="14" t="n"/>
      <c r="N288" s="6" t="n"/>
      <c r="O288" s="14" t="n"/>
      <c r="P288" s="4" t="n"/>
      <c r="Q288" s="15">
        <f>IF($E288="","",ROUND(('Settings'!$B$6-$E288)/30.4375,1))</f>
        <v/>
      </c>
      <c r="R288" s="16">
        <f>IF(OR($E288="",N($F288)=0),"",$Q288/$F288)</f>
        <v/>
      </c>
      <c r="S288" s="16">
        <f>IF(N($K288)=0,"",N($J288)/$K288)</f>
        <v/>
      </c>
      <c r="T288" s="17">
        <f>IF(OR($H288="",$G288=""),"",$H288+$G288*7)</f>
        <v/>
      </c>
      <c r="U288" s="9">
        <f>IF(OR($A288="",NOT(OR($P288="Active",$P288="Retention"))),"",IF(AND($I288&lt;&gt;"",$I288&gt;='Settings'!$B$6),"Booked",IF($T288="","",IF('Settings'!$B$6&gt;$T288+'Settings'!$B$7,"Overdue",IF($T288&lt;='Settings'!$B$6+7,"Due this week","On schedule")))))</f>
        <v/>
      </c>
      <c r="V288" s="15">
        <f>IF(OR($L288="",N($N288)=0),"",($L288-N($M288))/$N288)</f>
        <v/>
      </c>
      <c r="W288" s="15">
        <f>IF(OR($L288="",$E288=""),"",MIN($L288,N($M288)+N($V288)*MIN(N($N288),MAX(0,((YEAR('Settings'!$B$6)-YEAR($E288))*12+MONTH('Settings'!$B$6)-MONTH($E288)-IF(DAY('Settings'!$B$6)&lt;DAY($E288),1,0))))))</f>
        <v/>
      </c>
      <c r="X288" s="15">
        <f>IF($L288="","",$L288-N($O288))</f>
        <v/>
      </c>
      <c r="Y288" s="15">
        <f>IF($W288="","",MAX(0,$W288-N($O288)))</f>
        <v/>
      </c>
      <c r="Z288" s="9">
        <f>IF(OR($A288="",$L288=""),"",IF($X288&lt;=0,"Paid in full",IF($Y288&lt;1,"On track",IF($Y288&lt;=$V288,"1 instalment behind","Behind"))))</f>
        <v/>
      </c>
      <c r="AA288" s="18">
        <f>IF($U288="Overdue",COUNTIF($U$3:$U288,"Overdue"),"")</f>
        <v/>
      </c>
    </row>
    <row r="289">
      <c r="A289" s="4" t="n"/>
      <c r="B289" s="4" t="n"/>
      <c r="C289" s="4" t="n"/>
      <c r="D289" s="4" t="n"/>
      <c r="E289" s="5" t="n"/>
      <c r="F289" s="6" t="n"/>
      <c r="G289" s="6" t="n"/>
      <c r="H289" s="5" t="n"/>
      <c r="I289" s="5" t="n"/>
      <c r="J289" s="6" t="n"/>
      <c r="K289" s="6" t="n"/>
      <c r="L289" s="14" t="n"/>
      <c r="M289" s="14" t="n"/>
      <c r="N289" s="6" t="n"/>
      <c r="O289" s="14" t="n"/>
      <c r="P289" s="4" t="n"/>
      <c r="Q289" s="15">
        <f>IF($E289="","",ROUND(('Settings'!$B$6-$E289)/30.4375,1))</f>
        <v/>
      </c>
      <c r="R289" s="16">
        <f>IF(OR($E289="",N($F289)=0),"",$Q289/$F289)</f>
        <v/>
      </c>
      <c r="S289" s="16">
        <f>IF(N($K289)=0,"",N($J289)/$K289)</f>
        <v/>
      </c>
      <c r="T289" s="17">
        <f>IF(OR($H289="",$G289=""),"",$H289+$G289*7)</f>
        <v/>
      </c>
      <c r="U289" s="9">
        <f>IF(OR($A289="",NOT(OR($P289="Active",$P289="Retention"))),"",IF(AND($I289&lt;&gt;"",$I289&gt;='Settings'!$B$6),"Booked",IF($T289="","",IF('Settings'!$B$6&gt;$T289+'Settings'!$B$7,"Overdue",IF($T289&lt;='Settings'!$B$6+7,"Due this week","On schedule")))))</f>
        <v/>
      </c>
      <c r="V289" s="15">
        <f>IF(OR($L289="",N($N289)=0),"",($L289-N($M289))/$N289)</f>
        <v/>
      </c>
      <c r="W289" s="15">
        <f>IF(OR($L289="",$E289=""),"",MIN($L289,N($M289)+N($V289)*MIN(N($N289),MAX(0,((YEAR('Settings'!$B$6)-YEAR($E289))*12+MONTH('Settings'!$B$6)-MONTH($E289)-IF(DAY('Settings'!$B$6)&lt;DAY($E289),1,0))))))</f>
        <v/>
      </c>
      <c r="X289" s="15">
        <f>IF($L289="","",$L289-N($O289))</f>
        <v/>
      </c>
      <c r="Y289" s="15">
        <f>IF($W289="","",MAX(0,$W289-N($O289)))</f>
        <v/>
      </c>
      <c r="Z289" s="9">
        <f>IF(OR($A289="",$L289=""),"",IF($X289&lt;=0,"Paid in full",IF($Y289&lt;1,"On track",IF($Y289&lt;=$V289,"1 instalment behind","Behind"))))</f>
        <v/>
      </c>
      <c r="AA289" s="18">
        <f>IF($U289="Overdue",COUNTIF($U$3:$U289,"Overdue"),"")</f>
        <v/>
      </c>
    </row>
    <row r="290">
      <c r="A290" s="4" t="n"/>
      <c r="B290" s="4" t="n"/>
      <c r="C290" s="4" t="n"/>
      <c r="D290" s="4" t="n"/>
      <c r="E290" s="5" t="n"/>
      <c r="F290" s="6" t="n"/>
      <c r="G290" s="6" t="n"/>
      <c r="H290" s="5" t="n"/>
      <c r="I290" s="5" t="n"/>
      <c r="J290" s="6" t="n"/>
      <c r="K290" s="6" t="n"/>
      <c r="L290" s="14" t="n"/>
      <c r="M290" s="14" t="n"/>
      <c r="N290" s="6" t="n"/>
      <c r="O290" s="14" t="n"/>
      <c r="P290" s="4" t="n"/>
      <c r="Q290" s="15">
        <f>IF($E290="","",ROUND(('Settings'!$B$6-$E290)/30.4375,1))</f>
        <v/>
      </c>
      <c r="R290" s="16">
        <f>IF(OR($E290="",N($F290)=0),"",$Q290/$F290)</f>
        <v/>
      </c>
      <c r="S290" s="16">
        <f>IF(N($K290)=0,"",N($J290)/$K290)</f>
        <v/>
      </c>
      <c r="T290" s="17">
        <f>IF(OR($H290="",$G290=""),"",$H290+$G290*7)</f>
        <v/>
      </c>
      <c r="U290" s="9">
        <f>IF(OR($A290="",NOT(OR($P290="Active",$P290="Retention"))),"",IF(AND($I290&lt;&gt;"",$I290&gt;='Settings'!$B$6),"Booked",IF($T290="","",IF('Settings'!$B$6&gt;$T290+'Settings'!$B$7,"Overdue",IF($T290&lt;='Settings'!$B$6+7,"Due this week","On schedule")))))</f>
        <v/>
      </c>
      <c r="V290" s="15">
        <f>IF(OR($L290="",N($N290)=0),"",($L290-N($M290))/$N290)</f>
        <v/>
      </c>
      <c r="W290" s="15">
        <f>IF(OR($L290="",$E290=""),"",MIN($L290,N($M290)+N($V290)*MIN(N($N290),MAX(0,((YEAR('Settings'!$B$6)-YEAR($E290))*12+MONTH('Settings'!$B$6)-MONTH($E290)-IF(DAY('Settings'!$B$6)&lt;DAY($E290),1,0))))))</f>
        <v/>
      </c>
      <c r="X290" s="15">
        <f>IF($L290="","",$L290-N($O290))</f>
        <v/>
      </c>
      <c r="Y290" s="15">
        <f>IF($W290="","",MAX(0,$W290-N($O290)))</f>
        <v/>
      </c>
      <c r="Z290" s="9">
        <f>IF(OR($A290="",$L290=""),"",IF($X290&lt;=0,"Paid in full",IF($Y290&lt;1,"On track",IF($Y290&lt;=$V290,"1 instalment behind","Behind"))))</f>
        <v/>
      </c>
      <c r="AA290" s="18">
        <f>IF($U290="Overdue",COUNTIF($U$3:$U290,"Overdue"),"")</f>
        <v/>
      </c>
    </row>
    <row r="291">
      <c r="A291" s="4" t="n"/>
      <c r="B291" s="4" t="n"/>
      <c r="C291" s="4" t="n"/>
      <c r="D291" s="4" t="n"/>
      <c r="E291" s="5" t="n"/>
      <c r="F291" s="6" t="n"/>
      <c r="G291" s="6" t="n"/>
      <c r="H291" s="5" t="n"/>
      <c r="I291" s="5" t="n"/>
      <c r="J291" s="6" t="n"/>
      <c r="K291" s="6" t="n"/>
      <c r="L291" s="14" t="n"/>
      <c r="M291" s="14" t="n"/>
      <c r="N291" s="6" t="n"/>
      <c r="O291" s="14" t="n"/>
      <c r="P291" s="4" t="n"/>
      <c r="Q291" s="15">
        <f>IF($E291="","",ROUND(('Settings'!$B$6-$E291)/30.4375,1))</f>
        <v/>
      </c>
      <c r="R291" s="16">
        <f>IF(OR($E291="",N($F291)=0),"",$Q291/$F291)</f>
        <v/>
      </c>
      <c r="S291" s="16">
        <f>IF(N($K291)=0,"",N($J291)/$K291)</f>
        <v/>
      </c>
      <c r="T291" s="17">
        <f>IF(OR($H291="",$G291=""),"",$H291+$G291*7)</f>
        <v/>
      </c>
      <c r="U291" s="9">
        <f>IF(OR($A291="",NOT(OR($P291="Active",$P291="Retention"))),"",IF(AND($I291&lt;&gt;"",$I291&gt;='Settings'!$B$6),"Booked",IF($T291="","",IF('Settings'!$B$6&gt;$T291+'Settings'!$B$7,"Overdue",IF($T291&lt;='Settings'!$B$6+7,"Due this week","On schedule")))))</f>
        <v/>
      </c>
      <c r="V291" s="15">
        <f>IF(OR($L291="",N($N291)=0),"",($L291-N($M291))/$N291)</f>
        <v/>
      </c>
      <c r="W291" s="15">
        <f>IF(OR($L291="",$E291=""),"",MIN($L291,N($M291)+N($V291)*MIN(N($N291),MAX(0,((YEAR('Settings'!$B$6)-YEAR($E291))*12+MONTH('Settings'!$B$6)-MONTH($E291)-IF(DAY('Settings'!$B$6)&lt;DAY($E291),1,0))))))</f>
        <v/>
      </c>
      <c r="X291" s="15">
        <f>IF($L291="","",$L291-N($O291))</f>
        <v/>
      </c>
      <c r="Y291" s="15">
        <f>IF($W291="","",MAX(0,$W291-N($O291)))</f>
        <v/>
      </c>
      <c r="Z291" s="9">
        <f>IF(OR($A291="",$L291=""),"",IF($X291&lt;=0,"Paid in full",IF($Y291&lt;1,"On track",IF($Y291&lt;=$V291,"1 instalment behind","Behind"))))</f>
        <v/>
      </c>
      <c r="AA291" s="18">
        <f>IF($U291="Overdue",COUNTIF($U$3:$U291,"Overdue"),"")</f>
        <v/>
      </c>
    </row>
    <row r="292">
      <c r="A292" s="4" t="n"/>
      <c r="B292" s="4" t="n"/>
      <c r="C292" s="4" t="n"/>
      <c r="D292" s="4" t="n"/>
      <c r="E292" s="5" t="n"/>
      <c r="F292" s="6" t="n"/>
      <c r="G292" s="6" t="n"/>
      <c r="H292" s="5" t="n"/>
      <c r="I292" s="5" t="n"/>
      <c r="J292" s="6" t="n"/>
      <c r="K292" s="6" t="n"/>
      <c r="L292" s="14" t="n"/>
      <c r="M292" s="14" t="n"/>
      <c r="N292" s="6" t="n"/>
      <c r="O292" s="14" t="n"/>
      <c r="P292" s="4" t="n"/>
      <c r="Q292" s="15">
        <f>IF($E292="","",ROUND(('Settings'!$B$6-$E292)/30.4375,1))</f>
        <v/>
      </c>
      <c r="R292" s="16">
        <f>IF(OR($E292="",N($F292)=0),"",$Q292/$F292)</f>
        <v/>
      </c>
      <c r="S292" s="16">
        <f>IF(N($K292)=0,"",N($J292)/$K292)</f>
        <v/>
      </c>
      <c r="T292" s="17">
        <f>IF(OR($H292="",$G292=""),"",$H292+$G292*7)</f>
        <v/>
      </c>
      <c r="U292" s="9">
        <f>IF(OR($A292="",NOT(OR($P292="Active",$P292="Retention"))),"",IF(AND($I292&lt;&gt;"",$I292&gt;='Settings'!$B$6),"Booked",IF($T292="","",IF('Settings'!$B$6&gt;$T292+'Settings'!$B$7,"Overdue",IF($T292&lt;='Settings'!$B$6+7,"Due this week","On schedule")))))</f>
        <v/>
      </c>
      <c r="V292" s="15">
        <f>IF(OR($L292="",N($N292)=0),"",($L292-N($M292))/$N292)</f>
        <v/>
      </c>
      <c r="W292" s="15">
        <f>IF(OR($L292="",$E292=""),"",MIN($L292,N($M292)+N($V292)*MIN(N($N292),MAX(0,((YEAR('Settings'!$B$6)-YEAR($E292))*12+MONTH('Settings'!$B$6)-MONTH($E292)-IF(DAY('Settings'!$B$6)&lt;DAY($E292),1,0))))))</f>
        <v/>
      </c>
      <c r="X292" s="15">
        <f>IF($L292="","",$L292-N($O292))</f>
        <v/>
      </c>
      <c r="Y292" s="15">
        <f>IF($W292="","",MAX(0,$W292-N($O292)))</f>
        <v/>
      </c>
      <c r="Z292" s="9">
        <f>IF(OR($A292="",$L292=""),"",IF($X292&lt;=0,"Paid in full",IF($Y292&lt;1,"On track",IF($Y292&lt;=$V292,"1 instalment behind","Behind"))))</f>
        <v/>
      </c>
      <c r="AA292" s="18">
        <f>IF($U292="Overdue",COUNTIF($U$3:$U292,"Overdue"),"")</f>
        <v/>
      </c>
    </row>
    <row r="293">
      <c r="A293" s="4" t="n"/>
      <c r="B293" s="4" t="n"/>
      <c r="C293" s="4" t="n"/>
      <c r="D293" s="4" t="n"/>
      <c r="E293" s="5" t="n"/>
      <c r="F293" s="6" t="n"/>
      <c r="G293" s="6" t="n"/>
      <c r="H293" s="5" t="n"/>
      <c r="I293" s="5" t="n"/>
      <c r="J293" s="6" t="n"/>
      <c r="K293" s="6" t="n"/>
      <c r="L293" s="14" t="n"/>
      <c r="M293" s="14" t="n"/>
      <c r="N293" s="6" t="n"/>
      <c r="O293" s="14" t="n"/>
      <c r="P293" s="4" t="n"/>
      <c r="Q293" s="15">
        <f>IF($E293="","",ROUND(('Settings'!$B$6-$E293)/30.4375,1))</f>
        <v/>
      </c>
      <c r="R293" s="16">
        <f>IF(OR($E293="",N($F293)=0),"",$Q293/$F293)</f>
        <v/>
      </c>
      <c r="S293" s="16">
        <f>IF(N($K293)=0,"",N($J293)/$K293)</f>
        <v/>
      </c>
      <c r="T293" s="17">
        <f>IF(OR($H293="",$G293=""),"",$H293+$G293*7)</f>
        <v/>
      </c>
      <c r="U293" s="9">
        <f>IF(OR($A293="",NOT(OR($P293="Active",$P293="Retention"))),"",IF(AND($I293&lt;&gt;"",$I293&gt;='Settings'!$B$6),"Booked",IF($T293="","",IF('Settings'!$B$6&gt;$T293+'Settings'!$B$7,"Overdue",IF($T293&lt;='Settings'!$B$6+7,"Due this week","On schedule")))))</f>
        <v/>
      </c>
      <c r="V293" s="15">
        <f>IF(OR($L293="",N($N293)=0),"",($L293-N($M293))/$N293)</f>
        <v/>
      </c>
      <c r="W293" s="15">
        <f>IF(OR($L293="",$E293=""),"",MIN($L293,N($M293)+N($V293)*MIN(N($N293),MAX(0,((YEAR('Settings'!$B$6)-YEAR($E293))*12+MONTH('Settings'!$B$6)-MONTH($E293)-IF(DAY('Settings'!$B$6)&lt;DAY($E293),1,0))))))</f>
        <v/>
      </c>
      <c r="X293" s="15">
        <f>IF($L293="","",$L293-N($O293))</f>
        <v/>
      </c>
      <c r="Y293" s="15">
        <f>IF($W293="","",MAX(0,$W293-N($O293)))</f>
        <v/>
      </c>
      <c r="Z293" s="9">
        <f>IF(OR($A293="",$L293=""),"",IF($X293&lt;=0,"Paid in full",IF($Y293&lt;1,"On track",IF($Y293&lt;=$V293,"1 instalment behind","Behind"))))</f>
        <v/>
      </c>
      <c r="AA293" s="18">
        <f>IF($U293="Overdue",COUNTIF($U$3:$U293,"Overdue"),"")</f>
        <v/>
      </c>
    </row>
    <row r="294">
      <c r="A294" s="4" t="n"/>
      <c r="B294" s="4" t="n"/>
      <c r="C294" s="4" t="n"/>
      <c r="D294" s="4" t="n"/>
      <c r="E294" s="5" t="n"/>
      <c r="F294" s="6" t="n"/>
      <c r="G294" s="6" t="n"/>
      <c r="H294" s="5" t="n"/>
      <c r="I294" s="5" t="n"/>
      <c r="J294" s="6" t="n"/>
      <c r="K294" s="6" t="n"/>
      <c r="L294" s="14" t="n"/>
      <c r="M294" s="14" t="n"/>
      <c r="N294" s="6" t="n"/>
      <c r="O294" s="14" t="n"/>
      <c r="P294" s="4" t="n"/>
      <c r="Q294" s="15">
        <f>IF($E294="","",ROUND(('Settings'!$B$6-$E294)/30.4375,1))</f>
        <v/>
      </c>
      <c r="R294" s="16">
        <f>IF(OR($E294="",N($F294)=0),"",$Q294/$F294)</f>
        <v/>
      </c>
      <c r="S294" s="16">
        <f>IF(N($K294)=0,"",N($J294)/$K294)</f>
        <v/>
      </c>
      <c r="T294" s="17">
        <f>IF(OR($H294="",$G294=""),"",$H294+$G294*7)</f>
        <v/>
      </c>
      <c r="U294" s="9">
        <f>IF(OR($A294="",NOT(OR($P294="Active",$P294="Retention"))),"",IF(AND($I294&lt;&gt;"",$I294&gt;='Settings'!$B$6),"Booked",IF($T294="","",IF('Settings'!$B$6&gt;$T294+'Settings'!$B$7,"Overdue",IF($T294&lt;='Settings'!$B$6+7,"Due this week","On schedule")))))</f>
        <v/>
      </c>
      <c r="V294" s="15">
        <f>IF(OR($L294="",N($N294)=0),"",($L294-N($M294))/$N294)</f>
        <v/>
      </c>
      <c r="W294" s="15">
        <f>IF(OR($L294="",$E294=""),"",MIN($L294,N($M294)+N($V294)*MIN(N($N294),MAX(0,((YEAR('Settings'!$B$6)-YEAR($E294))*12+MONTH('Settings'!$B$6)-MONTH($E294)-IF(DAY('Settings'!$B$6)&lt;DAY($E294),1,0))))))</f>
        <v/>
      </c>
      <c r="X294" s="15">
        <f>IF($L294="","",$L294-N($O294))</f>
        <v/>
      </c>
      <c r="Y294" s="15">
        <f>IF($W294="","",MAX(0,$W294-N($O294)))</f>
        <v/>
      </c>
      <c r="Z294" s="9">
        <f>IF(OR($A294="",$L294=""),"",IF($X294&lt;=0,"Paid in full",IF($Y294&lt;1,"On track",IF($Y294&lt;=$V294,"1 instalment behind","Behind"))))</f>
        <v/>
      </c>
      <c r="AA294" s="18">
        <f>IF($U294="Overdue",COUNTIF($U$3:$U294,"Overdue"),"")</f>
        <v/>
      </c>
    </row>
    <row r="295">
      <c r="A295" s="4" t="n"/>
      <c r="B295" s="4" t="n"/>
      <c r="C295" s="4" t="n"/>
      <c r="D295" s="4" t="n"/>
      <c r="E295" s="5" t="n"/>
      <c r="F295" s="6" t="n"/>
      <c r="G295" s="6" t="n"/>
      <c r="H295" s="5" t="n"/>
      <c r="I295" s="5" t="n"/>
      <c r="J295" s="6" t="n"/>
      <c r="K295" s="6" t="n"/>
      <c r="L295" s="14" t="n"/>
      <c r="M295" s="14" t="n"/>
      <c r="N295" s="6" t="n"/>
      <c r="O295" s="14" t="n"/>
      <c r="P295" s="4" t="n"/>
      <c r="Q295" s="15">
        <f>IF($E295="","",ROUND(('Settings'!$B$6-$E295)/30.4375,1))</f>
        <v/>
      </c>
      <c r="R295" s="16">
        <f>IF(OR($E295="",N($F295)=0),"",$Q295/$F295)</f>
        <v/>
      </c>
      <c r="S295" s="16">
        <f>IF(N($K295)=0,"",N($J295)/$K295)</f>
        <v/>
      </c>
      <c r="T295" s="17">
        <f>IF(OR($H295="",$G295=""),"",$H295+$G295*7)</f>
        <v/>
      </c>
      <c r="U295" s="9">
        <f>IF(OR($A295="",NOT(OR($P295="Active",$P295="Retention"))),"",IF(AND($I295&lt;&gt;"",$I295&gt;='Settings'!$B$6),"Booked",IF($T295="","",IF('Settings'!$B$6&gt;$T295+'Settings'!$B$7,"Overdue",IF($T295&lt;='Settings'!$B$6+7,"Due this week","On schedule")))))</f>
        <v/>
      </c>
      <c r="V295" s="15">
        <f>IF(OR($L295="",N($N295)=0),"",($L295-N($M295))/$N295)</f>
        <v/>
      </c>
      <c r="W295" s="15">
        <f>IF(OR($L295="",$E295=""),"",MIN($L295,N($M295)+N($V295)*MIN(N($N295),MAX(0,((YEAR('Settings'!$B$6)-YEAR($E295))*12+MONTH('Settings'!$B$6)-MONTH($E295)-IF(DAY('Settings'!$B$6)&lt;DAY($E295),1,0))))))</f>
        <v/>
      </c>
      <c r="X295" s="15">
        <f>IF($L295="","",$L295-N($O295))</f>
        <v/>
      </c>
      <c r="Y295" s="15">
        <f>IF($W295="","",MAX(0,$W295-N($O295)))</f>
        <v/>
      </c>
      <c r="Z295" s="9">
        <f>IF(OR($A295="",$L295=""),"",IF($X295&lt;=0,"Paid in full",IF($Y295&lt;1,"On track",IF($Y295&lt;=$V295,"1 instalment behind","Behind"))))</f>
        <v/>
      </c>
      <c r="AA295" s="18">
        <f>IF($U295="Overdue",COUNTIF($U$3:$U295,"Overdue"),"")</f>
        <v/>
      </c>
    </row>
    <row r="296">
      <c r="A296" s="4" t="n"/>
      <c r="B296" s="4" t="n"/>
      <c r="C296" s="4" t="n"/>
      <c r="D296" s="4" t="n"/>
      <c r="E296" s="5" t="n"/>
      <c r="F296" s="6" t="n"/>
      <c r="G296" s="6" t="n"/>
      <c r="H296" s="5" t="n"/>
      <c r="I296" s="5" t="n"/>
      <c r="J296" s="6" t="n"/>
      <c r="K296" s="6" t="n"/>
      <c r="L296" s="14" t="n"/>
      <c r="M296" s="14" t="n"/>
      <c r="N296" s="6" t="n"/>
      <c r="O296" s="14" t="n"/>
      <c r="P296" s="4" t="n"/>
      <c r="Q296" s="15">
        <f>IF($E296="","",ROUND(('Settings'!$B$6-$E296)/30.4375,1))</f>
        <v/>
      </c>
      <c r="R296" s="16">
        <f>IF(OR($E296="",N($F296)=0),"",$Q296/$F296)</f>
        <v/>
      </c>
      <c r="S296" s="16">
        <f>IF(N($K296)=0,"",N($J296)/$K296)</f>
        <v/>
      </c>
      <c r="T296" s="17">
        <f>IF(OR($H296="",$G296=""),"",$H296+$G296*7)</f>
        <v/>
      </c>
      <c r="U296" s="9">
        <f>IF(OR($A296="",NOT(OR($P296="Active",$P296="Retention"))),"",IF(AND($I296&lt;&gt;"",$I296&gt;='Settings'!$B$6),"Booked",IF($T296="","",IF('Settings'!$B$6&gt;$T296+'Settings'!$B$7,"Overdue",IF($T296&lt;='Settings'!$B$6+7,"Due this week","On schedule")))))</f>
        <v/>
      </c>
      <c r="V296" s="15">
        <f>IF(OR($L296="",N($N296)=0),"",($L296-N($M296))/$N296)</f>
        <v/>
      </c>
      <c r="W296" s="15">
        <f>IF(OR($L296="",$E296=""),"",MIN($L296,N($M296)+N($V296)*MIN(N($N296),MAX(0,((YEAR('Settings'!$B$6)-YEAR($E296))*12+MONTH('Settings'!$B$6)-MONTH($E296)-IF(DAY('Settings'!$B$6)&lt;DAY($E296),1,0))))))</f>
        <v/>
      </c>
      <c r="X296" s="15">
        <f>IF($L296="","",$L296-N($O296))</f>
        <v/>
      </c>
      <c r="Y296" s="15">
        <f>IF($W296="","",MAX(0,$W296-N($O296)))</f>
        <v/>
      </c>
      <c r="Z296" s="9">
        <f>IF(OR($A296="",$L296=""),"",IF($X296&lt;=0,"Paid in full",IF($Y296&lt;1,"On track",IF($Y296&lt;=$V296,"1 instalment behind","Behind"))))</f>
        <v/>
      </c>
      <c r="AA296" s="18">
        <f>IF($U296="Overdue",COUNTIF($U$3:$U296,"Overdue"),"")</f>
        <v/>
      </c>
    </row>
    <row r="297">
      <c r="A297" s="4" t="n"/>
      <c r="B297" s="4" t="n"/>
      <c r="C297" s="4" t="n"/>
      <c r="D297" s="4" t="n"/>
      <c r="E297" s="5" t="n"/>
      <c r="F297" s="6" t="n"/>
      <c r="G297" s="6" t="n"/>
      <c r="H297" s="5" t="n"/>
      <c r="I297" s="5" t="n"/>
      <c r="J297" s="6" t="n"/>
      <c r="K297" s="6" t="n"/>
      <c r="L297" s="14" t="n"/>
      <c r="M297" s="14" t="n"/>
      <c r="N297" s="6" t="n"/>
      <c r="O297" s="14" t="n"/>
      <c r="P297" s="4" t="n"/>
      <c r="Q297" s="15">
        <f>IF($E297="","",ROUND(('Settings'!$B$6-$E297)/30.4375,1))</f>
        <v/>
      </c>
      <c r="R297" s="16">
        <f>IF(OR($E297="",N($F297)=0),"",$Q297/$F297)</f>
        <v/>
      </c>
      <c r="S297" s="16">
        <f>IF(N($K297)=0,"",N($J297)/$K297)</f>
        <v/>
      </c>
      <c r="T297" s="17">
        <f>IF(OR($H297="",$G297=""),"",$H297+$G297*7)</f>
        <v/>
      </c>
      <c r="U297" s="9">
        <f>IF(OR($A297="",NOT(OR($P297="Active",$P297="Retention"))),"",IF(AND($I297&lt;&gt;"",$I297&gt;='Settings'!$B$6),"Booked",IF($T297="","",IF('Settings'!$B$6&gt;$T297+'Settings'!$B$7,"Overdue",IF($T297&lt;='Settings'!$B$6+7,"Due this week","On schedule")))))</f>
        <v/>
      </c>
      <c r="V297" s="15">
        <f>IF(OR($L297="",N($N297)=0),"",($L297-N($M297))/$N297)</f>
        <v/>
      </c>
      <c r="W297" s="15">
        <f>IF(OR($L297="",$E297=""),"",MIN($L297,N($M297)+N($V297)*MIN(N($N297),MAX(0,((YEAR('Settings'!$B$6)-YEAR($E297))*12+MONTH('Settings'!$B$6)-MONTH($E297)-IF(DAY('Settings'!$B$6)&lt;DAY($E297),1,0))))))</f>
        <v/>
      </c>
      <c r="X297" s="15">
        <f>IF($L297="","",$L297-N($O297))</f>
        <v/>
      </c>
      <c r="Y297" s="15">
        <f>IF($W297="","",MAX(0,$W297-N($O297)))</f>
        <v/>
      </c>
      <c r="Z297" s="9">
        <f>IF(OR($A297="",$L297=""),"",IF($X297&lt;=0,"Paid in full",IF($Y297&lt;1,"On track",IF($Y297&lt;=$V297,"1 instalment behind","Behind"))))</f>
        <v/>
      </c>
      <c r="AA297" s="18">
        <f>IF($U297="Overdue",COUNTIF($U$3:$U297,"Overdue"),"")</f>
        <v/>
      </c>
    </row>
    <row r="298">
      <c r="A298" s="4" t="n"/>
      <c r="B298" s="4" t="n"/>
      <c r="C298" s="4" t="n"/>
      <c r="D298" s="4" t="n"/>
      <c r="E298" s="5" t="n"/>
      <c r="F298" s="6" t="n"/>
      <c r="G298" s="6" t="n"/>
      <c r="H298" s="5" t="n"/>
      <c r="I298" s="5" t="n"/>
      <c r="J298" s="6" t="n"/>
      <c r="K298" s="6" t="n"/>
      <c r="L298" s="14" t="n"/>
      <c r="M298" s="14" t="n"/>
      <c r="N298" s="6" t="n"/>
      <c r="O298" s="14" t="n"/>
      <c r="P298" s="4" t="n"/>
      <c r="Q298" s="15">
        <f>IF($E298="","",ROUND(('Settings'!$B$6-$E298)/30.4375,1))</f>
        <v/>
      </c>
      <c r="R298" s="16">
        <f>IF(OR($E298="",N($F298)=0),"",$Q298/$F298)</f>
        <v/>
      </c>
      <c r="S298" s="16">
        <f>IF(N($K298)=0,"",N($J298)/$K298)</f>
        <v/>
      </c>
      <c r="T298" s="17">
        <f>IF(OR($H298="",$G298=""),"",$H298+$G298*7)</f>
        <v/>
      </c>
      <c r="U298" s="9">
        <f>IF(OR($A298="",NOT(OR($P298="Active",$P298="Retention"))),"",IF(AND($I298&lt;&gt;"",$I298&gt;='Settings'!$B$6),"Booked",IF($T298="","",IF('Settings'!$B$6&gt;$T298+'Settings'!$B$7,"Overdue",IF($T298&lt;='Settings'!$B$6+7,"Due this week","On schedule")))))</f>
        <v/>
      </c>
      <c r="V298" s="15">
        <f>IF(OR($L298="",N($N298)=0),"",($L298-N($M298))/$N298)</f>
        <v/>
      </c>
      <c r="W298" s="15">
        <f>IF(OR($L298="",$E298=""),"",MIN($L298,N($M298)+N($V298)*MIN(N($N298),MAX(0,((YEAR('Settings'!$B$6)-YEAR($E298))*12+MONTH('Settings'!$B$6)-MONTH($E298)-IF(DAY('Settings'!$B$6)&lt;DAY($E298),1,0))))))</f>
        <v/>
      </c>
      <c r="X298" s="15">
        <f>IF($L298="","",$L298-N($O298))</f>
        <v/>
      </c>
      <c r="Y298" s="15">
        <f>IF($W298="","",MAX(0,$W298-N($O298)))</f>
        <v/>
      </c>
      <c r="Z298" s="9">
        <f>IF(OR($A298="",$L298=""),"",IF($X298&lt;=0,"Paid in full",IF($Y298&lt;1,"On track",IF($Y298&lt;=$V298,"1 instalment behind","Behind"))))</f>
        <v/>
      </c>
      <c r="AA298" s="18">
        <f>IF($U298="Overdue",COUNTIF($U$3:$U298,"Overdue"),"")</f>
        <v/>
      </c>
    </row>
    <row r="299">
      <c r="A299" s="4" t="n"/>
      <c r="B299" s="4" t="n"/>
      <c r="C299" s="4" t="n"/>
      <c r="D299" s="4" t="n"/>
      <c r="E299" s="5" t="n"/>
      <c r="F299" s="6" t="n"/>
      <c r="G299" s="6" t="n"/>
      <c r="H299" s="5" t="n"/>
      <c r="I299" s="5" t="n"/>
      <c r="J299" s="6" t="n"/>
      <c r="K299" s="6" t="n"/>
      <c r="L299" s="14" t="n"/>
      <c r="M299" s="14" t="n"/>
      <c r="N299" s="6" t="n"/>
      <c r="O299" s="14" t="n"/>
      <c r="P299" s="4" t="n"/>
      <c r="Q299" s="15">
        <f>IF($E299="","",ROUND(('Settings'!$B$6-$E299)/30.4375,1))</f>
        <v/>
      </c>
      <c r="R299" s="16">
        <f>IF(OR($E299="",N($F299)=0),"",$Q299/$F299)</f>
        <v/>
      </c>
      <c r="S299" s="16">
        <f>IF(N($K299)=0,"",N($J299)/$K299)</f>
        <v/>
      </c>
      <c r="T299" s="17">
        <f>IF(OR($H299="",$G299=""),"",$H299+$G299*7)</f>
        <v/>
      </c>
      <c r="U299" s="9">
        <f>IF(OR($A299="",NOT(OR($P299="Active",$P299="Retention"))),"",IF(AND($I299&lt;&gt;"",$I299&gt;='Settings'!$B$6),"Booked",IF($T299="","",IF('Settings'!$B$6&gt;$T299+'Settings'!$B$7,"Overdue",IF($T299&lt;='Settings'!$B$6+7,"Due this week","On schedule")))))</f>
        <v/>
      </c>
      <c r="V299" s="15">
        <f>IF(OR($L299="",N($N299)=0),"",($L299-N($M299))/$N299)</f>
        <v/>
      </c>
      <c r="W299" s="15">
        <f>IF(OR($L299="",$E299=""),"",MIN($L299,N($M299)+N($V299)*MIN(N($N299),MAX(0,((YEAR('Settings'!$B$6)-YEAR($E299))*12+MONTH('Settings'!$B$6)-MONTH($E299)-IF(DAY('Settings'!$B$6)&lt;DAY($E299),1,0))))))</f>
        <v/>
      </c>
      <c r="X299" s="15">
        <f>IF($L299="","",$L299-N($O299))</f>
        <v/>
      </c>
      <c r="Y299" s="15">
        <f>IF($W299="","",MAX(0,$W299-N($O299)))</f>
        <v/>
      </c>
      <c r="Z299" s="9">
        <f>IF(OR($A299="",$L299=""),"",IF($X299&lt;=0,"Paid in full",IF($Y299&lt;1,"On track",IF($Y299&lt;=$V299,"1 instalment behind","Behind"))))</f>
        <v/>
      </c>
      <c r="AA299" s="18">
        <f>IF($U299="Overdue",COUNTIF($U$3:$U299,"Overdue"),"")</f>
        <v/>
      </c>
    </row>
    <row r="300">
      <c r="A300" s="4" t="n"/>
      <c r="B300" s="4" t="n"/>
      <c r="C300" s="4" t="n"/>
      <c r="D300" s="4" t="n"/>
      <c r="E300" s="5" t="n"/>
      <c r="F300" s="6" t="n"/>
      <c r="G300" s="6" t="n"/>
      <c r="H300" s="5" t="n"/>
      <c r="I300" s="5" t="n"/>
      <c r="J300" s="6" t="n"/>
      <c r="K300" s="6" t="n"/>
      <c r="L300" s="14" t="n"/>
      <c r="M300" s="14" t="n"/>
      <c r="N300" s="6" t="n"/>
      <c r="O300" s="14" t="n"/>
      <c r="P300" s="4" t="n"/>
      <c r="Q300" s="15">
        <f>IF($E300="","",ROUND(('Settings'!$B$6-$E300)/30.4375,1))</f>
        <v/>
      </c>
      <c r="R300" s="16">
        <f>IF(OR($E300="",N($F300)=0),"",$Q300/$F300)</f>
        <v/>
      </c>
      <c r="S300" s="16">
        <f>IF(N($K300)=0,"",N($J300)/$K300)</f>
        <v/>
      </c>
      <c r="T300" s="17">
        <f>IF(OR($H300="",$G300=""),"",$H300+$G300*7)</f>
        <v/>
      </c>
      <c r="U300" s="9">
        <f>IF(OR($A300="",NOT(OR($P300="Active",$P300="Retention"))),"",IF(AND($I300&lt;&gt;"",$I300&gt;='Settings'!$B$6),"Booked",IF($T300="","",IF('Settings'!$B$6&gt;$T300+'Settings'!$B$7,"Overdue",IF($T300&lt;='Settings'!$B$6+7,"Due this week","On schedule")))))</f>
        <v/>
      </c>
      <c r="V300" s="15">
        <f>IF(OR($L300="",N($N300)=0),"",($L300-N($M300))/$N300)</f>
        <v/>
      </c>
      <c r="W300" s="15">
        <f>IF(OR($L300="",$E300=""),"",MIN($L300,N($M300)+N($V300)*MIN(N($N300),MAX(0,((YEAR('Settings'!$B$6)-YEAR($E300))*12+MONTH('Settings'!$B$6)-MONTH($E300)-IF(DAY('Settings'!$B$6)&lt;DAY($E300),1,0))))))</f>
        <v/>
      </c>
      <c r="X300" s="15">
        <f>IF($L300="","",$L300-N($O300))</f>
        <v/>
      </c>
      <c r="Y300" s="15">
        <f>IF($W300="","",MAX(0,$W300-N($O300)))</f>
        <v/>
      </c>
      <c r="Z300" s="9">
        <f>IF(OR($A300="",$L300=""),"",IF($X300&lt;=0,"Paid in full",IF($Y300&lt;1,"On track",IF($Y300&lt;=$V300,"1 instalment behind","Behind"))))</f>
        <v/>
      </c>
      <c r="AA300" s="18">
        <f>IF($U300="Overdue",COUNTIF($U$3:$U300,"Overdue"),"")</f>
        <v/>
      </c>
    </row>
    <row r="301">
      <c r="A301" s="4" t="n"/>
      <c r="B301" s="4" t="n"/>
      <c r="C301" s="4" t="n"/>
      <c r="D301" s="4" t="n"/>
      <c r="E301" s="5" t="n"/>
      <c r="F301" s="6" t="n"/>
      <c r="G301" s="6" t="n"/>
      <c r="H301" s="5" t="n"/>
      <c r="I301" s="5" t="n"/>
      <c r="J301" s="6" t="n"/>
      <c r="K301" s="6" t="n"/>
      <c r="L301" s="14" t="n"/>
      <c r="M301" s="14" t="n"/>
      <c r="N301" s="6" t="n"/>
      <c r="O301" s="14" t="n"/>
      <c r="P301" s="4" t="n"/>
      <c r="Q301" s="15">
        <f>IF($E301="","",ROUND(('Settings'!$B$6-$E301)/30.4375,1))</f>
        <v/>
      </c>
      <c r="R301" s="16">
        <f>IF(OR($E301="",N($F301)=0),"",$Q301/$F301)</f>
        <v/>
      </c>
      <c r="S301" s="16">
        <f>IF(N($K301)=0,"",N($J301)/$K301)</f>
        <v/>
      </c>
      <c r="T301" s="17">
        <f>IF(OR($H301="",$G301=""),"",$H301+$G301*7)</f>
        <v/>
      </c>
      <c r="U301" s="9">
        <f>IF(OR($A301="",NOT(OR($P301="Active",$P301="Retention"))),"",IF(AND($I301&lt;&gt;"",$I301&gt;='Settings'!$B$6),"Booked",IF($T301="","",IF('Settings'!$B$6&gt;$T301+'Settings'!$B$7,"Overdue",IF($T301&lt;='Settings'!$B$6+7,"Due this week","On schedule")))))</f>
        <v/>
      </c>
      <c r="V301" s="15">
        <f>IF(OR($L301="",N($N301)=0),"",($L301-N($M301))/$N301)</f>
        <v/>
      </c>
      <c r="W301" s="15">
        <f>IF(OR($L301="",$E301=""),"",MIN($L301,N($M301)+N($V301)*MIN(N($N301),MAX(0,((YEAR('Settings'!$B$6)-YEAR($E301))*12+MONTH('Settings'!$B$6)-MONTH($E301)-IF(DAY('Settings'!$B$6)&lt;DAY($E301),1,0))))))</f>
        <v/>
      </c>
      <c r="X301" s="15">
        <f>IF($L301="","",$L301-N($O301))</f>
        <v/>
      </c>
      <c r="Y301" s="15">
        <f>IF($W301="","",MAX(0,$W301-N($O301)))</f>
        <v/>
      </c>
      <c r="Z301" s="9">
        <f>IF(OR($A301="",$L301=""),"",IF($X301&lt;=0,"Paid in full",IF($Y301&lt;1,"On track",IF($Y301&lt;=$V301,"1 instalment behind","Behind"))))</f>
        <v/>
      </c>
      <c r="AA301" s="18">
        <f>IF($U301="Overdue",COUNTIF($U$3:$U301,"Overdue"),"")</f>
        <v/>
      </c>
    </row>
    <row r="302">
      <c r="A302" s="4" t="n"/>
      <c r="B302" s="4" t="n"/>
      <c r="C302" s="4" t="n"/>
      <c r="D302" s="4" t="n"/>
      <c r="E302" s="5" t="n"/>
      <c r="F302" s="6" t="n"/>
      <c r="G302" s="6" t="n"/>
      <c r="H302" s="5" t="n"/>
      <c r="I302" s="5" t="n"/>
      <c r="J302" s="6" t="n"/>
      <c r="K302" s="6" t="n"/>
      <c r="L302" s="14" t="n"/>
      <c r="M302" s="14" t="n"/>
      <c r="N302" s="6" t="n"/>
      <c r="O302" s="14" t="n"/>
      <c r="P302" s="4" t="n"/>
      <c r="Q302" s="15">
        <f>IF($E302="","",ROUND(('Settings'!$B$6-$E302)/30.4375,1))</f>
        <v/>
      </c>
      <c r="R302" s="16">
        <f>IF(OR($E302="",N($F302)=0),"",$Q302/$F302)</f>
        <v/>
      </c>
      <c r="S302" s="16">
        <f>IF(N($K302)=0,"",N($J302)/$K302)</f>
        <v/>
      </c>
      <c r="T302" s="17">
        <f>IF(OR($H302="",$G302=""),"",$H302+$G302*7)</f>
        <v/>
      </c>
      <c r="U302" s="9">
        <f>IF(OR($A302="",NOT(OR($P302="Active",$P302="Retention"))),"",IF(AND($I302&lt;&gt;"",$I302&gt;='Settings'!$B$6),"Booked",IF($T302="","",IF('Settings'!$B$6&gt;$T302+'Settings'!$B$7,"Overdue",IF($T302&lt;='Settings'!$B$6+7,"Due this week","On schedule")))))</f>
        <v/>
      </c>
      <c r="V302" s="15">
        <f>IF(OR($L302="",N($N302)=0),"",($L302-N($M302))/$N302)</f>
        <v/>
      </c>
      <c r="W302" s="15">
        <f>IF(OR($L302="",$E302=""),"",MIN($L302,N($M302)+N($V302)*MIN(N($N302),MAX(0,((YEAR('Settings'!$B$6)-YEAR($E302))*12+MONTH('Settings'!$B$6)-MONTH($E302)-IF(DAY('Settings'!$B$6)&lt;DAY($E302),1,0))))))</f>
        <v/>
      </c>
      <c r="X302" s="15">
        <f>IF($L302="","",$L302-N($O302))</f>
        <v/>
      </c>
      <c r="Y302" s="15">
        <f>IF($W302="","",MAX(0,$W302-N($O302)))</f>
        <v/>
      </c>
      <c r="Z302" s="9">
        <f>IF(OR($A302="",$L302=""),"",IF($X302&lt;=0,"Paid in full",IF($Y302&lt;1,"On track",IF($Y302&lt;=$V302,"1 instalment behind","Behind"))))</f>
        <v/>
      </c>
      <c r="AA302" s="18">
        <f>IF($U302="Overdue",COUNTIF($U$3:$U302,"Overdue"),"")</f>
        <v/>
      </c>
    </row>
    <row r="303">
      <c r="A303" s="4" t="n"/>
      <c r="B303" s="4" t="n"/>
      <c r="C303" s="4" t="n"/>
      <c r="D303" s="4" t="n"/>
      <c r="E303" s="5" t="n"/>
      <c r="F303" s="6" t="n"/>
      <c r="G303" s="6" t="n"/>
      <c r="H303" s="5" t="n"/>
      <c r="I303" s="5" t="n"/>
      <c r="J303" s="6" t="n"/>
      <c r="K303" s="6" t="n"/>
      <c r="L303" s="14" t="n"/>
      <c r="M303" s="14" t="n"/>
      <c r="N303" s="6" t="n"/>
      <c r="O303" s="14" t="n"/>
      <c r="P303" s="4" t="n"/>
      <c r="Q303" s="15">
        <f>IF($E303="","",ROUND(('Settings'!$B$6-$E303)/30.4375,1))</f>
        <v/>
      </c>
      <c r="R303" s="16">
        <f>IF(OR($E303="",N($F303)=0),"",$Q303/$F303)</f>
        <v/>
      </c>
      <c r="S303" s="16">
        <f>IF(N($K303)=0,"",N($J303)/$K303)</f>
        <v/>
      </c>
      <c r="T303" s="17">
        <f>IF(OR($H303="",$G303=""),"",$H303+$G303*7)</f>
        <v/>
      </c>
      <c r="U303" s="9">
        <f>IF(OR($A303="",NOT(OR($P303="Active",$P303="Retention"))),"",IF(AND($I303&lt;&gt;"",$I303&gt;='Settings'!$B$6),"Booked",IF($T303="","",IF('Settings'!$B$6&gt;$T303+'Settings'!$B$7,"Overdue",IF($T303&lt;='Settings'!$B$6+7,"Due this week","On schedule")))))</f>
        <v/>
      </c>
      <c r="V303" s="15">
        <f>IF(OR($L303="",N($N303)=0),"",($L303-N($M303))/$N303)</f>
        <v/>
      </c>
      <c r="W303" s="15">
        <f>IF(OR($L303="",$E303=""),"",MIN($L303,N($M303)+N($V303)*MIN(N($N303),MAX(0,((YEAR('Settings'!$B$6)-YEAR($E303))*12+MONTH('Settings'!$B$6)-MONTH($E303)-IF(DAY('Settings'!$B$6)&lt;DAY($E303),1,0))))))</f>
        <v/>
      </c>
      <c r="X303" s="15">
        <f>IF($L303="","",$L303-N($O303))</f>
        <v/>
      </c>
      <c r="Y303" s="15">
        <f>IF($W303="","",MAX(0,$W303-N($O303)))</f>
        <v/>
      </c>
      <c r="Z303" s="9">
        <f>IF(OR($A303="",$L303=""),"",IF($X303&lt;=0,"Paid in full",IF($Y303&lt;1,"On track",IF($Y303&lt;=$V303,"1 instalment behind","Behind"))))</f>
        <v/>
      </c>
      <c r="AA303" s="18">
        <f>IF($U303="Overdue",COUNTIF($U$3:$U303,"Overdue"),"")</f>
        <v/>
      </c>
    </row>
    <row r="304">
      <c r="A304" s="4" t="n"/>
      <c r="B304" s="4" t="n"/>
      <c r="C304" s="4" t="n"/>
      <c r="D304" s="4" t="n"/>
      <c r="E304" s="5" t="n"/>
      <c r="F304" s="6" t="n"/>
      <c r="G304" s="6" t="n"/>
      <c r="H304" s="5" t="n"/>
      <c r="I304" s="5" t="n"/>
      <c r="J304" s="6" t="n"/>
      <c r="K304" s="6" t="n"/>
      <c r="L304" s="14" t="n"/>
      <c r="M304" s="14" t="n"/>
      <c r="N304" s="6" t="n"/>
      <c r="O304" s="14" t="n"/>
      <c r="P304" s="4" t="n"/>
      <c r="Q304" s="15">
        <f>IF($E304="","",ROUND(('Settings'!$B$6-$E304)/30.4375,1))</f>
        <v/>
      </c>
      <c r="R304" s="16">
        <f>IF(OR($E304="",N($F304)=0),"",$Q304/$F304)</f>
        <v/>
      </c>
      <c r="S304" s="16">
        <f>IF(N($K304)=0,"",N($J304)/$K304)</f>
        <v/>
      </c>
      <c r="T304" s="17">
        <f>IF(OR($H304="",$G304=""),"",$H304+$G304*7)</f>
        <v/>
      </c>
      <c r="U304" s="9">
        <f>IF(OR($A304="",NOT(OR($P304="Active",$P304="Retention"))),"",IF(AND($I304&lt;&gt;"",$I304&gt;='Settings'!$B$6),"Booked",IF($T304="","",IF('Settings'!$B$6&gt;$T304+'Settings'!$B$7,"Overdue",IF($T304&lt;='Settings'!$B$6+7,"Due this week","On schedule")))))</f>
        <v/>
      </c>
      <c r="V304" s="15">
        <f>IF(OR($L304="",N($N304)=0),"",($L304-N($M304))/$N304)</f>
        <v/>
      </c>
      <c r="W304" s="15">
        <f>IF(OR($L304="",$E304=""),"",MIN($L304,N($M304)+N($V304)*MIN(N($N304),MAX(0,((YEAR('Settings'!$B$6)-YEAR($E304))*12+MONTH('Settings'!$B$6)-MONTH($E304)-IF(DAY('Settings'!$B$6)&lt;DAY($E304),1,0))))))</f>
        <v/>
      </c>
      <c r="X304" s="15">
        <f>IF($L304="","",$L304-N($O304))</f>
        <v/>
      </c>
      <c r="Y304" s="15">
        <f>IF($W304="","",MAX(0,$W304-N($O304)))</f>
        <v/>
      </c>
      <c r="Z304" s="9">
        <f>IF(OR($A304="",$L304=""),"",IF($X304&lt;=0,"Paid in full",IF($Y304&lt;1,"On track",IF($Y304&lt;=$V304,"1 instalment behind","Behind"))))</f>
        <v/>
      </c>
      <c r="AA304" s="18">
        <f>IF($U304="Overdue",COUNTIF($U$3:$U304,"Overdue"),"")</f>
        <v/>
      </c>
    </row>
    <row r="305">
      <c r="A305" s="4" t="n"/>
      <c r="B305" s="4" t="n"/>
      <c r="C305" s="4" t="n"/>
      <c r="D305" s="4" t="n"/>
      <c r="E305" s="5" t="n"/>
      <c r="F305" s="6" t="n"/>
      <c r="G305" s="6" t="n"/>
      <c r="H305" s="5" t="n"/>
      <c r="I305" s="5" t="n"/>
      <c r="J305" s="6" t="n"/>
      <c r="K305" s="6" t="n"/>
      <c r="L305" s="14" t="n"/>
      <c r="M305" s="14" t="n"/>
      <c r="N305" s="6" t="n"/>
      <c r="O305" s="14" t="n"/>
      <c r="P305" s="4" t="n"/>
      <c r="Q305" s="15">
        <f>IF($E305="","",ROUND(('Settings'!$B$6-$E305)/30.4375,1))</f>
        <v/>
      </c>
      <c r="R305" s="16">
        <f>IF(OR($E305="",N($F305)=0),"",$Q305/$F305)</f>
        <v/>
      </c>
      <c r="S305" s="16">
        <f>IF(N($K305)=0,"",N($J305)/$K305)</f>
        <v/>
      </c>
      <c r="T305" s="17">
        <f>IF(OR($H305="",$G305=""),"",$H305+$G305*7)</f>
        <v/>
      </c>
      <c r="U305" s="9">
        <f>IF(OR($A305="",NOT(OR($P305="Active",$P305="Retention"))),"",IF(AND($I305&lt;&gt;"",$I305&gt;='Settings'!$B$6),"Booked",IF($T305="","",IF('Settings'!$B$6&gt;$T305+'Settings'!$B$7,"Overdue",IF($T305&lt;='Settings'!$B$6+7,"Due this week","On schedule")))))</f>
        <v/>
      </c>
      <c r="V305" s="15">
        <f>IF(OR($L305="",N($N305)=0),"",($L305-N($M305))/$N305)</f>
        <v/>
      </c>
      <c r="W305" s="15">
        <f>IF(OR($L305="",$E305=""),"",MIN($L305,N($M305)+N($V305)*MIN(N($N305),MAX(0,((YEAR('Settings'!$B$6)-YEAR($E305))*12+MONTH('Settings'!$B$6)-MONTH($E305)-IF(DAY('Settings'!$B$6)&lt;DAY($E305),1,0))))))</f>
        <v/>
      </c>
      <c r="X305" s="15">
        <f>IF($L305="","",$L305-N($O305))</f>
        <v/>
      </c>
      <c r="Y305" s="15">
        <f>IF($W305="","",MAX(0,$W305-N($O305)))</f>
        <v/>
      </c>
      <c r="Z305" s="9">
        <f>IF(OR($A305="",$L305=""),"",IF($X305&lt;=0,"Paid in full",IF($Y305&lt;1,"On track",IF($Y305&lt;=$V305,"1 instalment behind","Behind"))))</f>
        <v/>
      </c>
      <c r="AA305" s="18">
        <f>IF($U305="Overdue",COUNTIF($U$3:$U305,"Overdue"),"")</f>
        <v/>
      </c>
    </row>
    <row r="306">
      <c r="A306" s="4" t="n"/>
      <c r="B306" s="4" t="n"/>
      <c r="C306" s="4" t="n"/>
      <c r="D306" s="4" t="n"/>
      <c r="E306" s="5" t="n"/>
      <c r="F306" s="6" t="n"/>
      <c r="G306" s="6" t="n"/>
      <c r="H306" s="5" t="n"/>
      <c r="I306" s="5" t="n"/>
      <c r="J306" s="6" t="n"/>
      <c r="K306" s="6" t="n"/>
      <c r="L306" s="14" t="n"/>
      <c r="M306" s="14" t="n"/>
      <c r="N306" s="6" t="n"/>
      <c r="O306" s="14" t="n"/>
      <c r="P306" s="4" t="n"/>
      <c r="Q306" s="15">
        <f>IF($E306="","",ROUND(('Settings'!$B$6-$E306)/30.4375,1))</f>
        <v/>
      </c>
      <c r="R306" s="16">
        <f>IF(OR($E306="",N($F306)=0),"",$Q306/$F306)</f>
        <v/>
      </c>
      <c r="S306" s="16">
        <f>IF(N($K306)=0,"",N($J306)/$K306)</f>
        <v/>
      </c>
      <c r="T306" s="17">
        <f>IF(OR($H306="",$G306=""),"",$H306+$G306*7)</f>
        <v/>
      </c>
      <c r="U306" s="9">
        <f>IF(OR($A306="",NOT(OR($P306="Active",$P306="Retention"))),"",IF(AND($I306&lt;&gt;"",$I306&gt;='Settings'!$B$6),"Booked",IF($T306="","",IF('Settings'!$B$6&gt;$T306+'Settings'!$B$7,"Overdue",IF($T306&lt;='Settings'!$B$6+7,"Due this week","On schedule")))))</f>
        <v/>
      </c>
      <c r="V306" s="15">
        <f>IF(OR($L306="",N($N306)=0),"",($L306-N($M306))/$N306)</f>
        <v/>
      </c>
      <c r="W306" s="15">
        <f>IF(OR($L306="",$E306=""),"",MIN($L306,N($M306)+N($V306)*MIN(N($N306),MAX(0,((YEAR('Settings'!$B$6)-YEAR($E306))*12+MONTH('Settings'!$B$6)-MONTH($E306)-IF(DAY('Settings'!$B$6)&lt;DAY($E306),1,0))))))</f>
        <v/>
      </c>
      <c r="X306" s="15">
        <f>IF($L306="","",$L306-N($O306))</f>
        <v/>
      </c>
      <c r="Y306" s="15">
        <f>IF($W306="","",MAX(0,$W306-N($O306)))</f>
        <v/>
      </c>
      <c r="Z306" s="9">
        <f>IF(OR($A306="",$L306=""),"",IF($X306&lt;=0,"Paid in full",IF($Y306&lt;1,"On track",IF($Y306&lt;=$V306,"1 instalment behind","Behind"))))</f>
        <v/>
      </c>
      <c r="AA306" s="18">
        <f>IF($U306="Overdue",COUNTIF($U$3:$U306,"Overdue"),"")</f>
        <v/>
      </c>
    </row>
    <row r="307">
      <c r="A307" s="4" t="n"/>
      <c r="B307" s="4" t="n"/>
      <c r="C307" s="4" t="n"/>
      <c r="D307" s="4" t="n"/>
      <c r="E307" s="5" t="n"/>
      <c r="F307" s="6" t="n"/>
      <c r="G307" s="6" t="n"/>
      <c r="H307" s="5" t="n"/>
      <c r="I307" s="5" t="n"/>
      <c r="J307" s="6" t="n"/>
      <c r="K307" s="6" t="n"/>
      <c r="L307" s="14" t="n"/>
      <c r="M307" s="14" t="n"/>
      <c r="N307" s="6" t="n"/>
      <c r="O307" s="14" t="n"/>
      <c r="P307" s="4" t="n"/>
      <c r="Q307" s="15">
        <f>IF($E307="","",ROUND(('Settings'!$B$6-$E307)/30.4375,1))</f>
        <v/>
      </c>
      <c r="R307" s="16">
        <f>IF(OR($E307="",N($F307)=0),"",$Q307/$F307)</f>
        <v/>
      </c>
      <c r="S307" s="16">
        <f>IF(N($K307)=0,"",N($J307)/$K307)</f>
        <v/>
      </c>
      <c r="T307" s="17">
        <f>IF(OR($H307="",$G307=""),"",$H307+$G307*7)</f>
        <v/>
      </c>
      <c r="U307" s="9">
        <f>IF(OR($A307="",NOT(OR($P307="Active",$P307="Retention"))),"",IF(AND($I307&lt;&gt;"",$I307&gt;='Settings'!$B$6),"Booked",IF($T307="","",IF('Settings'!$B$6&gt;$T307+'Settings'!$B$7,"Overdue",IF($T307&lt;='Settings'!$B$6+7,"Due this week","On schedule")))))</f>
        <v/>
      </c>
      <c r="V307" s="15">
        <f>IF(OR($L307="",N($N307)=0),"",($L307-N($M307))/$N307)</f>
        <v/>
      </c>
      <c r="W307" s="15">
        <f>IF(OR($L307="",$E307=""),"",MIN($L307,N($M307)+N($V307)*MIN(N($N307),MAX(0,((YEAR('Settings'!$B$6)-YEAR($E307))*12+MONTH('Settings'!$B$6)-MONTH($E307)-IF(DAY('Settings'!$B$6)&lt;DAY($E307),1,0))))))</f>
        <v/>
      </c>
      <c r="X307" s="15">
        <f>IF($L307="","",$L307-N($O307))</f>
        <v/>
      </c>
      <c r="Y307" s="15">
        <f>IF($W307="","",MAX(0,$W307-N($O307)))</f>
        <v/>
      </c>
      <c r="Z307" s="9">
        <f>IF(OR($A307="",$L307=""),"",IF($X307&lt;=0,"Paid in full",IF($Y307&lt;1,"On track",IF($Y307&lt;=$V307,"1 instalment behind","Behind"))))</f>
        <v/>
      </c>
      <c r="AA307" s="18">
        <f>IF($U307="Overdue",COUNTIF($U$3:$U307,"Overdue"),"")</f>
        <v/>
      </c>
    </row>
    <row r="308">
      <c r="A308" s="4" t="n"/>
      <c r="B308" s="4" t="n"/>
      <c r="C308" s="4" t="n"/>
      <c r="D308" s="4" t="n"/>
      <c r="E308" s="5" t="n"/>
      <c r="F308" s="6" t="n"/>
      <c r="G308" s="6" t="n"/>
      <c r="H308" s="5" t="n"/>
      <c r="I308" s="5" t="n"/>
      <c r="J308" s="6" t="n"/>
      <c r="K308" s="6" t="n"/>
      <c r="L308" s="14" t="n"/>
      <c r="M308" s="14" t="n"/>
      <c r="N308" s="6" t="n"/>
      <c r="O308" s="14" t="n"/>
      <c r="P308" s="4" t="n"/>
      <c r="Q308" s="15">
        <f>IF($E308="","",ROUND(('Settings'!$B$6-$E308)/30.4375,1))</f>
        <v/>
      </c>
      <c r="R308" s="16">
        <f>IF(OR($E308="",N($F308)=0),"",$Q308/$F308)</f>
        <v/>
      </c>
      <c r="S308" s="16">
        <f>IF(N($K308)=0,"",N($J308)/$K308)</f>
        <v/>
      </c>
      <c r="T308" s="17">
        <f>IF(OR($H308="",$G308=""),"",$H308+$G308*7)</f>
        <v/>
      </c>
      <c r="U308" s="9">
        <f>IF(OR($A308="",NOT(OR($P308="Active",$P308="Retention"))),"",IF(AND($I308&lt;&gt;"",$I308&gt;='Settings'!$B$6),"Booked",IF($T308="","",IF('Settings'!$B$6&gt;$T308+'Settings'!$B$7,"Overdue",IF($T308&lt;='Settings'!$B$6+7,"Due this week","On schedule")))))</f>
        <v/>
      </c>
      <c r="V308" s="15">
        <f>IF(OR($L308="",N($N308)=0),"",($L308-N($M308))/$N308)</f>
        <v/>
      </c>
      <c r="W308" s="15">
        <f>IF(OR($L308="",$E308=""),"",MIN($L308,N($M308)+N($V308)*MIN(N($N308),MAX(0,((YEAR('Settings'!$B$6)-YEAR($E308))*12+MONTH('Settings'!$B$6)-MONTH($E308)-IF(DAY('Settings'!$B$6)&lt;DAY($E308),1,0))))))</f>
        <v/>
      </c>
      <c r="X308" s="15">
        <f>IF($L308="","",$L308-N($O308))</f>
        <v/>
      </c>
      <c r="Y308" s="15">
        <f>IF($W308="","",MAX(0,$W308-N($O308)))</f>
        <v/>
      </c>
      <c r="Z308" s="9">
        <f>IF(OR($A308="",$L308=""),"",IF($X308&lt;=0,"Paid in full",IF($Y308&lt;1,"On track",IF($Y308&lt;=$V308,"1 instalment behind","Behind"))))</f>
        <v/>
      </c>
      <c r="AA308" s="18">
        <f>IF($U308="Overdue",COUNTIF($U$3:$U308,"Overdue"),"")</f>
        <v/>
      </c>
    </row>
    <row r="309">
      <c r="A309" s="4" t="n"/>
      <c r="B309" s="4" t="n"/>
      <c r="C309" s="4" t="n"/>
      <c r="D309" s="4" t="n"/>
      <c r="E309" s="5" t="n"/>
      <c r="F309" s="6" t="n"/>
      <c r="G309" s="6" t="n"/>
      <c r="H309" s="5" t="n"/>
      <c r="I309" s="5" t="n"/>
      <c r="J309" s="6" t="n"/>
      <c r="K309" s="6" t="n"/>
      <c r="L309" s="14" t="n"/>
      <c r="M309" s="14" t="n"/>
      <c r="N309" s="6" t="n"/>
      <c r="O309" s="14" t="n"/>
      <c r="P309" s="4" t="n"/>
      <c r="Q309" s="15">
        <f>IF($E309="","",ROUND(('Settings'!$B$6-$E309)/30.4375,1))</f>
        <v/>
      </c>
      <c r="R309" s="16">
        <f>IF(OR($E309="",N($F309)=0),"",$Q309/$F309)</f>
        <v/>
      </c>
      <c r="S309" s="16">
        <f>IF(N($K309)=0,"",N($J309)/$K309)</f>
        <v/>
      </c>
      <c r="T309" s="17">
        <f>IF(OR($H309="",$G309=""),"",$H309+$G309*7)</f>
        <v/>
      </c>
      <c r="U309" s="9">
        <f>IF(OR($A309="",NOT(OR($P309="Active",$P309="Retention"))),"",IF(AND($I309&lt;&gt;"",$I309&gt;='Settings'!$B$6),"Booked",IF($T309="","",IF('Settings'!$B$6&gt;$T309+'Settings'!$B$7,"Overdue",IF($T309&lt;='Settings'!$B$6+7,"Due this week","On schedule")))))</f>
        <v/>
      </c>
      <c r="V309" s="15">
        <f>IF(OR($L309="",N($N309)=0),"",($L309-N($M309))/$N309)</f>
        <v/>
      </c>
      <c r="W309" s="15">
        <f>IF(OR($L309="",$E309=""),"",MIN($L309,N($M309)+N($V309)*MIN(N($N309),MAX(0,((YEAR('Settings'!$B$6)-YEAR($E309))*12+MONTH('Settings'!$B$6)-MONTH($E309)-IF(DAY('Settings'!$B$6)&lt;DAY($E309),1,0))))))</f>
        <v/>
      </c>
      <c r="X309" s="15">
        <f>IF($L309="","",$L309-N($O309))</f>
        <v/>
      </c>
      <c r="Y309" s="15">
        <f>IF($W309="","",MAX(0,$W309-N($O309)))</f>
        <v/>
      </c>
      <c r="Z309" s="9">
        <f>IF(OR($A309="",$L309=""),"",IF($X309&lt;=0,"Paid in full",IF($Y309&lt;1,"On track",IF($Y309&lt;=$V309,"1 instalment behind","Behind"))))</f>
        <v/>
      </c>
      <c r="AA309" s="18">
        <f>IF($U309="Overdue",COUNTIF($U$3:$U309,"Overdue"),"")</f>
        <v/>
      </c>
    </row>
    <row r="310">
      <c r="A310" s="4" t="n"/>
      <c r="B310" s="4" t="n"/>
      <c r="C310" s="4" t="n"/>
      <c r="D310" s="4" t="n"/>
      <c r="E310" s="5" t="n"/>
      <c r="F310" s="6" t="n"/>
      <c r="G310" s="6" t="n"/>
      <c r="H310" s="5" t="n"/>
      <c r="I310" s="5" t="n"/>
      <c r="J310" s="6" t="n"/>
      <c r="K310" s="6" t="n"/>
      <c r="L310" s="14" t="n"/>
      <c r="M310" s="14" t="n"/>
      <c r="N310" s="6" t="n"/>
      <c r="O310" s="14" t="n"/>
      <c r="P310" s="4" t="n"/>
      <c r="Q310" s="15">
        <f>IF($E310="","",ROUND(('Settings'!$B$6-$E310)/30.4375,1))</f>
        <v/>
      </c>
      <c r="R310" s="16">
        <f>IF(OR($E310="",N($F310)=0),"",$Q310/$F310)</f>
        <v/>
      </c>
      <c r="S310" s="16">
        <f>IF(N($K310)=0,"",N($J310)/$K310)</f>
        <v/>
      </c>
      <c r="T310" s="17">
        <f>IF(OR($H310="",$G310=""),"",$H310+$G310*7)</f>
        <v/>
      </c>
      <c r="U310" s="9">
        <f>IF(OR($A310="",NOT(OR($P310="Active",$P310="Retention"))),"",IF(AND($I310&lt;&gt;"",$I310&gt;='Settings'!$B$6),"Booked",IF($T310="","",IF('Settings'!$B$6&gt;$T310+'Settings'!$B$7,"Overdue",IF($T310&lt;='Settings'!$B$6+7,"Due this week","On schedule")))))</f>
        <v/>
      </c>
      <c r="V310" s="15">
        <f>IF(OR($L310="",N($N310)=0),"",($L310-N($M310))/$N310)</f>
        <v/>
      </c>
      <c r="W310" s="15">
        <f>IF(OR($L310="",$E310=""),"",MIN($L310,N($M310)+N($V310)*MIN(N($N310),MAX(0,((YEAR('Settings'!$B$6)-YEAR($E310))*12+MONTH('Settings'!$B$6)-MONTH($E310)-IF(DAY('Settings'!$B$6)&lt;DAY($E310),1,0))))))</f>
        <v/>
      </c>
      <c r="X310" s="15">
        <f>IF($L310="","",$L310-N($O310))</f>
        <v/>
      </c>
      <c r="Y310" s="15">
        <f>IF($W310="","",MAX(0,$W310-N($O310)))</f>
        <v/>
      </c>
      <c r="Z310" s="9">
        <f>IF(OR($A310="",$L310=""),"",IF($X310&lt;=0,"Paid in full",IF($Y310&lt;1,"On track",IF($Y310&lt;=$V310,"1 instalment behind","Behind"))))</f>
        <v/>
      </c>
      <c r="AA310" s="18">
        <f>IF($U310="Overdue",COUNTIF($U$3:$U310,"Overdue"),"")</f>
        <v/>
      </c>
    </row>
    <row r="311">
      <c r="A311" s="4" t="n"/>
      <c r="B311" s="4" t="n"/>
      <c r="C311" s="4" t="n"/>
      <c r="D311" s="4" t="n"/>
      <c r="E311" s="5" t="n"/>
      <c r="F311" s="6" t="n"/>
      <c r="G311" s="6" t="n"/>
      <c r="H311" s="5" t="n"/>
      <c r="I311" s="5" t="n"/>
      <c r="J311" s="6" t="n"/>
      <c r="K311" s="6" t="n"/>
      <c r="L311" s="14" t="n"/>
      <c r="M311" s="14" t="n"/>
      <c r="N311" s="6" t="n"/>
      <c r="O311" s="14" t="n"/>
      <c r="P311" s="4" t="n"/>
      <c r="Q311" s="15">
        <f>IF($E311="","",ROUND(('Settings'!$B$6-$E311)/30.4375,1))</f>
        <v/>
      </c>
      <c r="R311" s="16">
        <f>IF(OR($E311="",N($F311)=0),"",$Q311/$F311)</f>
        <v/>
      </c>
      <c r="S311" s="16">
        <f>IF(N($K311)=0,"",N($J311)/$K311)</f>
        <v/>
      </c>
      <c r="T311" s="17">
        <f>IF(OR($H311="",$G311=""),"",$H311+$G311*7)</f>
        <v/>
      </c>
      <c r="U311" s="9">
        <f>IF(OR($A311="",NOT(OR($P311="Active",$P311="Retention"))),"",IF(AND($I311&lt;&gt;"",$I311&gt;='Settings'!$B$6),"Booked",IF($T311="","",IF('Settings'!$B$6&gt;$T311+'Settings'!$B$7,"Overdue",IF($T311&lt;='Settings'!$B$6+7,"Due this week","On schedule")))))</f>
        <v/>
      </c>
      <c r="V311" s="15">
        <f>IF(OR($L311="",N($N311)=0),"",($L311-N($M311))/$N311)</f>
        <v/>
      </c>
      <c r="W311" s="15">
        <f>IF(OR($L311="",$E311=""),"",MIN($L311,N($M311)+N($V311)*MIN(N($N311),MAX(0,((YEAR('Settings'!$B$6)-YEAR($E311))*12+MONTH('Settings'!$B$6)-MONTH($E311)-IF(DAY('Settings'!$B$6)&lt;DAY($E311),1,0))))))</f>
        <v/>
      </c>
      <c r="X311" s="15">
        <f>IF($L311="","",$L311-N($O311))</f>
        <v/>
      </c>
      <c r="Y311" s="15">
        <f>IF($W311="","",MAX(0,$W311-N($O311)))</f>
        <v/>
      </c>
      <c r="Z311" s="9">
        <f>IF(OR($A311="",$L311=""),"",IF($X311&lt;=0,"Paid in full",IF($Y311&lt;1,"On track",IF($Y311&lt;=$V311,"1 instalment behind","Behind"))))</f>
        <v/>
      </c>
      <c r="AA311" s="18">
        <f>IF($U311="Overdue",COUNTIF($U$3:$U311,"Overdue"),"")</f>
        <v/>
      </c>
    </row>
    <row r="312">
      <c r="A312" s="4" t="n"/>
      <c r="B312" s="4" t="n"/>
      <c r="C312" s="4" t="n"/>
      <c r="D312" s="4" t="n"/>
      <c r="E312" s="5" t="n"/>
      <c r="F312" s="6" t="n"/>
      <c r="G312" s="6" t="n"/>
      <c r="H312" s="5" t="n"/>
      <c r="I312" s="5" t="n"/>
      <c r="J312" s="6" t="n"/>
      <c r="K312" s="6" t="n"/>
      <c r="L312" s="14" t="n"/>
      <c r="M312" s="14" t="n"/>
      <c r="N312" s="6" t="n"/>
      <c r="O312" s="14" t="n"/>
      <c r="P312" s="4" t="n"/>
      <c r="Q312" s="15">
        <f>IF($E312="","",ROUND(('Settings'!$B$6-$E312)/30.4375,1))</f>
        <v/>
      </c>
      <c r="R312" s="16">
        <f>IF(OR($E312="",N($F312)=0),"",$Q312/$F312)</f>
        <v/>
      </c>
      <c r="S312" s="16">
        <f>IF(N($K312)=0,"",N($J312)/$K312)</f>
        <v/>
      </c>
      <c r="T312" s="17">
        <f>IF(OR($H312="",$G312=""),"",$H312+$G312*7)</f>
        <v/>
      </c>
      <c r="U312" s="9">
        <f>IF(OR($A312="",NOT(OR($P312="Active",$P312="Retention"))),"",IF(AND($I312&lt;&gt;"",$I312&gt;='Settings'!$B$6),"Booked",IF($T312="","",IF('Settings'!$B$6&gt;$T312+'Settings'!$B$7,"Overdue",IF($T312&lt;='Settings'!$B$6+7,"Due this week","On schedule")))))</f>
        <v/>
      </c>
      <c r="V312" s="15">
        <f>IF(OR($L312="",N($N312)=0),"",($L312-N($M312))/$N312)</f>
        <v/>
      </c>
      <c r="W312" s="15">
        <f>IF(OR($L312="",$E312=""),"",MIN($L312,N($M312)+N($V312)*MIN(N($N312),MAX(0,((YEAR('Settings'!$B$6)-YEAR($E312))*12+MONTH('Settings'!$B$6)-MONTH($E312)-IF(DAY('Settings'!$B$6)&lt;DAY($E312),1,0))))))</f>
        <v/>
      </c>
      <c r="X312" s="15">
        <f>IF($L312="","",$L312-N($O312))</f>
        <v/>
      </c>
      <c r="Y312" s="15">
        <f>IF($W312="","",MAX(0,$W312-N($O312)))</f>
        <v/>
      </c>
      <c r="Z312" s="9">
        <f>IF(OR($A312="",$L312=""),"",IF($X312&lt;=0,"Paid in full",IF($Y312&lt;1,"On track",IF($Y312&lt;=$V312,"1 instalment behind","Behind"))))</f>
        <v/>
      </c>
      <c r="AA312" s="18">
        <f>IF($U312="Overdue",COUNTIF($U$3:$U312,"Overdue"),"")</f>
        <v/>
      </c>
    </row>
    <row r="313">
      <c r="A313" s="4" t="n"/>
      <c r="B313" s="4" t="n"/>
      <c r="C313" s="4" t="n"/>
      <c r="D313" s="4" t="n"/>
      <c r="E313" s="5" t="n"/>
      <c r="F313" s="6" t="n"/>
      <c r="G313" s="6" t="n"/>
      <c r="H313" s="5" t="n"/>
      <c r="I313" s="5" t="n"/>
      <c r="J313" s="6" t="n"/>
      <c r="K313" s="6" t="n"/>
      <c r="L313" s="14" t="n"/>
      <c r="M313" s="14" t="n"/>
      <c r="N313" s="6" t="n"/>
      <c r="O313" s="14" t="n"/>
      <c r="P313" s="4" t="n"/>
      <c r="Q313" s="15">
        <f>IF($E313="","",ROUND(('Settings'!$B$6-$E313)/30.4375,1))</f>
        <v/>
      </c>
      <c r="R313" s="16">
        <f>IF(OR($E313="",N($F313)=0),"",$Q313/$F313)</f>
        <v/>
      </c>
      <c r="S313" s="16">
        <f>IF(N($K313)=0,"",N($J313)/$K313)</f>
        <v/>
      </c>
      <c r="T313" s="17">
        <f>IF(OR($H313="",$G313=""),"",$H313+$G313*7)</f>
        <v/>
      </c>
      <c r="U313" s="9">
        <f>IF(OR($A313="",NOT(OR($P313="Active",$P313="Retention"))),"",IF(AND($I313&lt;&gt;"",$I313&gt;='Settings'!$B$6),"Booked",IF($T313="","",IF('Settings'!$B$6&gt;$T313+'Settings'!$B$7,"Overdue",IF($T313&lt;='Settings'!$B$6+7,"Due this week","On schedule")))))</f>
        <v/>
      </c>
      <c r="V313" s="15">
        <f>IF(OR($L313="",N($N313)=0),"",($L313-N($M313))/$N313)</f>
        <v/>
      </c>
      <c r="W313" s="15">
        <f>IF(OR($L313="",$E313=""),"",MIN($L313,N($M313)+N($V313)*MIN(N($N313),MAX(0,((YEAR('Settings'!$B$6)-YEAR($E313))*12+MONTH('Settings'!$B$6)-MONTH($E313)-IF(DAY('Settings'!$B$6)&lt;DAY($E313),1,0))))))</f>
        <v/>
      </c>
      <c r="X313" s="15">
        <f>IF($L313="","",$L313-N($O313))</f>
        <v/>
      </c>
      <c r="Y313" s="15">
        <f>IF($W313="","",MAX(0,$W313-N($O313)))</f>
        <v/>
      </c>
      <c r="Z313" s="9">
        <f>IF(OR($A313="",$L313=""),"",IF($X313&lt;=0,"Paid in full",IF($Y313&lt;1,"On track",IF($Y313&lt;=$V313,"1 instalment behind","Behind"))))</f>
        <v/>
      </c>
      <c r="AA313" s="18">
        <f>IF($U313="Overdue",COUNTIF($U$3:$U313,"Overdue"),"")</f>
        <v/>
      </c>
    </row>
    <row r="314">
      <c r="A314" s="4" t="n"/>
      <c r="B314" s="4" t="n"/>
      <c r="C314" s="4" t="n"/>
      <c r="D314" s="4" t="n"/>
      <c r="E314" s="5" t="n"/>
      <c r="F314" s="6" t="n"/>
      <c r="G314" s="6" t="n"/>
      <c r="H314" s="5" t="n"/>
      <c r="I314" s="5" t="n"/>
      <c r="J314" s="6" t="n"/>
      <c r="K314" s="6" t="n"/>
      <c r="L314" s="14" t="n"/>
      <c r="M314" s="14" t="n"/>
      <c r="N314" s="6" t="n"/>
      <c r="O314" s="14" t="n"/>
      <c r="P314" s="4" t="n"/>
      <c r="Q314" s="15">
        <f>IF($E314="","",ROUND(('Settings'!$B$6-$E314)/30.4375,1))</f>
        <v/>
      </c>
      <c r="R314" s="16">
        <f>IF(OR($E314="",N($F314)=0),"",$Q314/$F314)</f>
        <v/>
      </c>
      <c r="S314" s="16">
        <f>IF(N($K314)=0,"",N($J314)/$K314)</f>
        <v/>
      </c>
      <c r="T314" s="17">
        <f>IF(OR($H314="",$G314=""),"",$H314+$G314*7)</f>
        <v/>
      </c>
      <c r="U314" s="9">
        <f>IF(OR($A314="",NOT(OR($P314="Active",$P314="Retention"))),"",IF(AND($I314&lt;&gt;"",$I314&gt;='Settings'!$B$6),"Booked",IF($T314="","",IF('Settings'!$B$6&gt;$T314+'Settings'!$B$7,"Overdue",IF($T314&lt;='Settings'!$B$6+7,"Due this week","On schedule")))))</f>
        <v/>
      </c>
      <c r="V314" s="15">
        <f>IF(OR($L314="",N($N314)=0),"",($L314-N($M314))/$N314)</f>
        <v/>
      </c>
      <c r="W314" s="15">
        <f>IF(OR($L314="",$E314=""),"",MIN($L314,N($M314)+N($V314)*MIN(N($N314),MAX(0,((YEAR('Settings'!$B$6)-YEAR($E314))*12+MONTH('Settings'!$B$6)-MONTH($E314)-IF(DAY('Settings'!$B$6)&lt;DAY($E314),1,0))))))</f>
        <v/>
      </c>
      <c r="X314" s="15">
        <f>IF($L314="","",$L314-N($O314))</f>
        <v/>
      </c>
      <c r="Y314" s="15">
        <f>IF($W314="","",MAX(0,$W314-N($O314)))</f>
        <v/>
      </c>
      <c r="Z314" s="9">
        <f>IF(OR($A314="",$L314=""),"",IF($X314&lt;=0,"Paid in full",IF($Y314&lt;1,"On track",IF($Y314&lt;=$V314,"1 instalment behind","Behind"))))</f>
        <v/>
      </c>
      <c r="AA314" s="18">
        <f>IF($U314="Overdue",COUNTIF($U$3:$U314,"Overdue"),"")</f>
        <v/>
      </c>
    </row>
    <row r="315">
      <c r="A315" s="4" t="n"/>
      <c r="B315" s="4" t="n"/>
      <c r="C315" s="4" t="n"/>
      <c r="D315" s="4" t="n"/>
      <c r="E315" s="5" t="n"/>
      <c r="F315" s="6" t="n"/>
      <c r="G315" s="6" t="n"/>
      <c r="H315" s="5" t="n"/>
      <c r="I315" s="5" t="n"/>
      <c r="J315" s="6" t="n"/>
      <c r="K315" s="6" t="n"/>
      <c r="L315" s="14" t="n"/>
      <c r="M315" s="14" t="n"/>
      <c r="N315" s="6" t="n"/>
      <c r="O315" s="14" t="n"/>
      <c r="P315" s="4" t="n"/>
      <c r="Q315" s="15">
        <f>IF($E315="","",ROUND(('Settings'!$B$6-$E315)/30.4375,1))</f>
        <v/>
      </c>
      <c r="R315" s="16">
        <f>IF(OR($E315="",N($F315)=0),"",$Q315/$F315)</f>
        <v/>
      </c>
      <c r="S315" s="16">
        <f>IF(N($K315)=0,"",N($J315)/$K315)</f>
        <v/>
      </c>
      <c r="T315" s="17">
        <f>IF(OR($H315="",$G315=""),"",$H315+$G315*7)</f>
        <v/>
      </c>
      <c r="U315" s="9">
        <f>IF(OR($A315="",NOT(OR($P315="Active",$P315="Retention"))),"",IF(AND($I315&lt;&gt;"",$I315&gt;='Settings'!$B$6),"Booked",IF($T315="","",IF('Settings'!$B$6&gt;$T315+'Settings'!$B$7,"Overdue",IF($T315&lt;='Settings'!$B$6+7,"Due this week","On schedule")))))</f>
        <v/>
      </c>
      <c r="V315" s="15">
        <f>IF(OR($L315="",N($N315)=0),"",($L315-N($M315))/$N315)</f>
        <v/>
      </c>
      <c r="W315" s="15">
        <f>IF(OR($L315="",$E315=""),"",MIN($L315,N($M315)+N($V315)*MIN(N($N315),MAX(0,((YEAR('Settings'!$B$6)-YEAR($E315))*12+MONTH('Settings'!$B$6)-MONTH($E315)-IF(DAY('Settings'!$B$6)&lt;DAY($E315),1,0))))))</f>
        <v/>
      </c>
      <c r="X315" s="15">
        <f>IF($L315="","",$L315-N($O315))</f>
        <v/>
      </c>
      <c r="Y315" s="15">
        <f>IF($W315="","",MAX(0,$W315-N($O315)))</f>
        <v/>
      </c>
      <c r="Z315" s="9">
        <f>IF(OR($A315="",$L315=""),"",IF($X315&lt;=0,"Paid in full",IF($Y315&lt;1,"On track",IF($Y315&lt;=$V315,"1 instalment behind","Behind"))))</f>
        <v/>
      </c>
      <c r="AA315" s="18">
        <f>IF($U315="Overdue",COUNTIF($U$3:$U315,"Overdue"),"")</f>
        <v/>
      </c>
    </row>
    <row r="316">
      <c r="A316" s="4" t="n"/>
      <c r="B316" s="4" t="n"/>
      <c r="C316" s="4" t="n"/>
      <c r="D316" s="4" t="n"/>
      <c r="E316" s="5" t="n"/>
      <c r="F316" s="6" t="n"/>
      <c r="G316" s="6" t="n"/>
      <c r="H316" s="5" t="n"/>
      <c r="I316" s="5" t="n"/>
      <c r="J316" s="6" t="n"/>
      <c r="K316" s="6" t="n"/>
      <c r="L316" s="14" t="n"/>
      <c r="M316" s="14" t="n"/>
      <c r="N316" s="6" t="n"/>
      <c r="O316" s="14" t="n"/>
      <c r="P316" s="4" t="n"/>
      <c r="Q316" s="15">
        <f>IF($E316="","",ROUND(('Settings'!$B$6-$E316)/30.4375,1))</f>
        <v/>
      </c>
      <c r="R316" s="16">
        <f>IF(OR($E316="",N($F316)=0),"",$Q316/$F316)</f>
        <v/>
      </c>
      <c r="S316" s="16">
        <f>IF(N($K316)=0,"",N($J316)/$K316)</f>
        <v/>
      </c>
      <c r="T316" s="17">
        <f>IF(OR($H316="",$G316=""),"",$H316+$G316*7)</f>
        <v/>
      </c>
      <c r="U316" s="9">
        <f>IF(OR($A316="",NOT(OR($P316="Active",$P316="Retention"))),"",IF(AND($I316&lt;&gt;"",$I316&gt;='Settings'!$B$6),"Booked",IF($T316="","",IF('Settings'!$B$6&gt;$T316+'Settings'!$B$7,"Overdue",IF($T316&lt;='Settings'!$B$6+7,"Due this week","On schedule")))))</f>
        <v/>
      </c>
      <c r="V316" s="15">
        <f>IF(OR($L316="",N($N316)=0),"",($L316-N($M316))/$N316)</f>
        <v/>
      </c>
      <c r="W316" s="15">
        <f>IF(OR($L316="",$E316=""),"",MIN($L316,N($M316)+N($V316)*MIN(N($N316),MAX(0,((YEAR('Settings'!$B$6)-YEAR($E316))*12+MONTH('Settings'!$B$6)-MONTH($E316)-IF(DAY('Settings'!$B$6)&lt;DAY($E316),1,0))))))</f>
        <v/>
      </c>
      <c r="X316" s="15">
        <f>IF($L316="","",$L316-N($O316))</f>
        <v/>
      </c>
      <c r="Y316" s="15">
        <f>IF($W316="","",MAX(0,$W316-N($O316)))</f>
        <v/>
      </c>
      <c r="Z316" s="9">
        <f>IF(OR($A316="",$L316=""),"",IF($X316&lt;=0,"Paid in full",IF($Y316&lt;1,"On track",IF($Y316&lt;=$V316,"1 instalment behind","Behind"))))</f>
        <v/>
      </c>
      <c r="AA316" s="18">
        <f>IF($U316="Overdue",COUNTIF($U$3:$U316,"Overdue"),"")</f>
        <v/>
      </c>
    </row>
    <row r="317">
      <c r="A317" s="4" t="n"/>
      <c r="B317" s="4" t="n"/>
      <c r="C317" s="4" t="n"/>
      <c r="D317" s="4" t="n"/>
      <c r="E317" s="5" t="n"/>
      <c r="F317" s="6" t="n"/>
      <c r="G317" s="6" t="n"/>
      <c r="H317" s="5" t="n"/>
      <c r="I317" s="5" t="n"/>
      <c r="J317" s="6" t="n"/>
      <c r="K317" s="6" t="n"/>
      <c r="L317" s="14" t="n"/>
      <c r="M317" s="14" t="n"/>
      <c r="N317" s="6" t="n"/>
      <c r="O317" s="14" t="n"/>
      <c r="P317" s="4" t="n"/>
      <c r="Q317" s="15">
        <f>IF($E317="","",ROUND(('Settings'!$B$6-$E317)/30.4375,1))</f>
        <v/>
      </c>
      <c r="R317" s="16">
        <f>IF(OR($E317="",N($F317)=0),"",$Q317/$F317)</f>
        <v/>
      </c>
      <c r="S317" s="16">
        <f>IF(N($K317)=0,"",N($J317)/$K317)</f>
        <v/>
      </c>
      <c r="T317" s="17">
        <f>IF(OR($H317="",$G317=""),"",$H317+$G317*7)</f>
        <v/>
      </c>
      <c r="U317" s="9">
        <f>IF(OR($A317="",NOT(OR($P317="Active",$P317="Retention"))),"",IF(AND($I317&lt;&gt;"",$I317&gt;='Settings'!$B$6),"Booked",IF($T317="","",IF('Settings'!$B$6&gt;$T317+'Settings'!$B$7,"Overdue",IF($T317&lt;='Settings'!$B$6+7,"Due this week","On schedule")))))</f>
        <v/>
      </c>
      <c r="V317" s="15">
        <f>IF(OR($L317="",N($N317)=0),"",($L317-N($M317))/$N317)</f>
        <v/>
      </c>
      <c r="W317" s="15">
        <f>IF(OR($L317="",$E317=""),"",MIN($L317,N($M317)+N($V317)*MIN(N($N317),MAX(0,((YEAR('Settings'!$B$6)-YEAR($E317))*12+MONTH('Settings'!$B$6)-MONTH($E317)-IF(DAY('Settings'!$B$6)&lt;DAY($E317),1,0))))))</f>
        <v/>
      </c>
      <c r="X317" s="15">
        <f>IF($L317="","",$L317-N($O317))</f>
        <v/>
      </c>
      <c r="Y317" s="15">
        <f>IF($W317="","",MAX(0,$W317-N($O317)))</f>
        <v/>
      </c>
      <c r="Z317" s="9">
        <f>IF(OR($A317="",$L317=""),"",IF($X317&lt;=0,"Paid in full",IF($Y317&lt;1,"On track",IF($Y317&lt;=$V317,"1 instalment behind","Behind"))))</f>
        <v/>
      </c>
      <c r="AA317" s="18">
        <f>IF($U317="Overdue",COUNTIF($U$3:$U317,"Overdue"),"")</f>
        <v/>
      </c>
    </row>
    <row r="318">
      <c r="A318" s="4" t="n"/>
      <c r="B318" s="4" t="n"/>
      <c r="C318" s="4" t="n"/>
      <c r="D318" s="4" t="n"/>
      <c r="E318" s="5" t="n"/>
      <c r="F318" s="6" t="n"/>
      <c r="G318" s="6" t="n"/>
      <c r="H318" s="5" t="n"/>
      <c r="I318" s="5" t="n"/>
      <c r="J318" s="6" t="n"/>
      <c r="K318" s="6" t="n"/>
      <c r="L318" s="14" t="n"/>
      <c r="M318" s="14" t="n"/>
      <c r="N318" s="6" t="n"/>
      <c r="O318" s="14" t="n"/>
      <c r="P318" s="4" t="n"/>
      <c r="Q318" s="15">
        <f>IF($E318="","",ROUND(('Settings'!$B$6-$E318)/30.4375,1))</f>
        <v/>
      </c>
      <c r="R318" s="16">
        <f>IF(OR($E318="",N($F318)=0),"",$Q318/$F318)</f>
        <v/>
      </c>
      <c r="S318" s="16">
        <f>IF(N($K318)=0,"",N($J318)/$K318)</f>
        <v/>
      </c>
      <c r="T318" s="17">
        <f>IF(OR($H318="",$G318=""),"",$H318+$G318*7)</f>
        <v/>
      </c>
      <c r="U318" s="9">
        <f>IF(OR($A318="",NOT(OR($P318="Active",$P318="Retention"))),"",IF(AND($I318&lt;&gt;"",$I318&gt;='Settings'!$B$6),"Booked",IF($T318="","",IF('Settings'!$B$6&gt;$T318+'Settings'!$B$7,"Overdue",IF($T318&lt;='Settings'!$B$6+7,"Due this week","On schedule")))))</f>
        <v/>
      </c>
      <c r="V318" s="15">
        <f>IF(OR($L318="",N($N318)=0),"",($L318-N($M318))/$N318)</f>
        <v/>
      </c>
      <c r="W318" s="15">
        <f>IF(OR($L318="",$E318=""),"",MIN($L318,N($M318)+N($V318)*MIN(N($N318),MAX(0,((YEAR('Settings'!$B$6)-YEAR($E318))*12+MONTH('Settings'!$B$6)-MONTH($E318)-IF(DAY('Settings'!$B$6)&lt;DAY($E318),1,0))))))</f>
        <v/>
      </c>
      <c r="X318" s="15">
        <f>IF($L318="","",$L318-N($O318))</f>
        <v/>
      </c>
      <c r="Y318" s="15">
        <f>IF($W318="","",MAX(0,$W318-N($O318)))</f>
        <v/>
      </c>
      <c r="Z318" s="9">
        <f>IF(OR($A318="",$L318=""),"",IF($X318&lt;=0,"Paid in full",IF($Y318&lt;1,"On track",IF($Y318&lt;=$V318,"1 instalment behind","Behind"))))</f>
        <v/>
      </c>
      <c r="AA318" s="18">
        <f>IF($U318="Overdue",COUNTIF($U$3:$U318,"Overdue"),"")</f>
        <v/>
      </c>
    </row>
    <row r="319">
      <c r="A319" s="4" t="n"/>
      <c r="B319" s="4" t="n"/>
      <c r="C319" s="4" t="n"/>
      <c r="D319" s="4" t="n"/>
      <c r="E319" s="5" t="n"/>
      <c r="F319" s="6" t="n"/>
      <c r="G319" s="6" t="n"/>
      <c r="H319" s="5" t="n"/>
      <c r="I319" s="5" t="n"/>
      <c r="J319" s="6" t="n"/>
      <c r="K319" s="6" t="n"/>
      <c r="L319" s="14" t="n"/>
      <c r="M319" s="14" t="n"/>
      <c r="N319" s="6" t="n"/>
      <c r="O319" s="14" t="n"/>
      <c r="P319" s="4" t="n"/>
      <c r="Q319" s="15">
        <f>IF($E319="","",ROUND(('Settings'!$B$6-$E319)/30.4375,1))</f>
        <v/>
      </c>
      <c r="R319" s="16">
        <f>IF(OR($E319="",N($F319)=0),"",$Q319/$F319)</f>
        <v/>
      </c>
      <c r="S319" s="16">
        <f>IF(N($K319)=0,"",N($J319)/$K319)</f>
        <v/>
      </c>
      <c r="T319" s="17">
        <f>IF(OR($H319="",$G319=""),"",$H319+$G319*7)</f>
        <v/>
      </c>
      <c r="U319" s="9">
        <f>IF(OR($A319="",NOT(OR($P319="Active",$P319="Retention"))),"",IF(AND($I319&lt;&gt;"",$I319&gt;='Settings'!$B$6),"Booked",IF($T319="","",IF('Settings'!$B$6&gt;$T319+'Settings'!$B$7,"Overdue",IF($T319&lt;='Settings'!$B$6+7,"Due this week","On schedule")))))</f>
        <v/>
      </c>
      <c r="V319" s="15">
        <f>IF(OR($L319="",N($N319)=0),"",($L319-N($M319))/$N319)</f>
        <v/>
      </c>
      <c r="W319" s="15">
        <f>IF(OR($L319="",$E319=""),"",MIN($L319,N($M319)+N($V319)*MIN(N($N319),MAX(0,((YEAR('Settings'!$B$6)-YEAR($E319))*12+MONTH('Settings'!$B$6)-MONTH($E319)-IF(DAY('Settings'!$B$6)&lt;DAY($E319),1,0))))))</f>
        <v/>
      </c>
      <c r="X319" s="15">
        <f>IF($L319="","",$L319-N($O319))</f>
        <v/>
      </c>
      <c r="Y319" s="15">
        <f>IF($W319="","",MAX(0,$W319-N($O319)))</f>
        <v/>
      </c>
      <c r="Z319" s="9">
        <f>IF(OR($A319="",$L319=""),"",IF($X319&lt;=0,"Paid in full",IF($Y319&lt;1,"On track",IF($Y319&lt;=$V319,"1 instalment behind","Behind"))))</f>
        <v/>
      </c>
      <c r="AA319" s="18">
        <f>IF($U319="Overdue",COUNTIF($U$3:$U319,"Overdue"),"")</f>
        <v/>
      </c>
    </row>
    <row r="320">
      <c r="A320" s="4" t="n"/>
      <c r="B320" s="4" t="n"/>
      <c r="C320" s="4" t="n"/>
      <c r="D320" s="4" t="n"/>
      <c r="E320" s="5" t="n"/>
      <c r="F320" s="6" t="n"/>
      <c r="G320" s="6" t="n"/>
      <c r="H320" s="5" t="n"/>
      <c r="I320" s="5" t="n"/>
      <c r="J320" s="6" t="n"/>
      <c r="K320" s="6" t="n"/>
      <c r="L320" s="14" t="n"/>
      <c r="M320" s="14" t="n"/>
      <c r="N320" s="6" t="n"/>
      <c r="O320" s="14" t="n"/>
      <c r="P320" s="4" t="n"/>
      <c r="Q320" s="15">
        <f>IF($E320="","",ROUND(('Settings'!$B$6-$E320)/30.4375,1))</f>
        <v/>
      </c>
      <c r="R320" s="16">
        <f>IF(OR($E320="",N($F320)=0),"",$Q320/$F320)</f>
        <v/>
      </c>
      <c r="S320" s="16">
        <f>IF(N($K320)=0,"",N($J320)/$K320)</f>
        <v/>
      </c>
      <c r="T320" s="17">
        <f>IF(OR($H320="",$G320=""),"",$H320+$G320*7)</f>
        <v/>
      </c>
      <c r="U320" s="9">
        <f>IF(OR($A320="",NOT(OR($P320="Active",$P320="Retention"))),"",IF(AND($I320&lt;&gt;"",$I320&gt;='Settings'!$B$6),"Booked",IF($T320="","",IF('Settings'!$B$6&gt;$T320+'Settings'!$B$7,"Overdue",IF($T320&lt;='Settings'!$B$6+7,"Due this week","On schedule")))))</f>
        <v/>
      </c>
      <c r="V320" s="15">
        <f>IF(OR($L320="",N($N320)=0),"",($L320-N($M320))/$N320)</f>
        <v/>
      </c>
      <c r="W320" s="15">
        <f>IF(OR($L320="",$E320=""),"",MIN($L320,N($M320)+N($V320)*MIN(N($N320),MAX(0,((YEAR('Settings'!$B$6)-YEAR($E320))*12+MONTH('Settings'!$B$6)-MONTH($E320)-IF(DAY('Settings'!$B$6)&lt;DAY($E320),1,0))))))</f>
        <v/>
      </c>
      <c r="X320" s="15">
        <f>IF($L320="","",$L320-N($O320))</f>
        <v/>
      </c>
      <c r="Y320" s="15">
        <f>IF($W320="","",MAX(0,$W320-N($O320)))</f>
        <v/>
      </c>
      <c r="Z320" s="9">
        <f>IF(OR($A320="",$L320=""),"",IF($X320&lt;=0,"Paid in full",IF($Y320&lt;1,"On track",IF($Y320&lt;=$V320,"1 instalment behind","Behind"))))</f>
        <v/>
      </c>
      <c r="AA320" s="18">
        <f>IF($U320="Overdue",COUNTIF($U$3:$U320,"Overdue"),"")</f>
        <v/>
      </c>
    </row>
    <row r="321">
      <c r="A321" s="4" t="n"/>
      <c r="B321" s="4" t="n"/>
      <c r="C321" s="4" t="n"/>
      <c r="D321" s="4" t="n"/>
      <c r="E321" s="5" t="n"/>
      <c r="F321" s="6" t="n"/>
      <c r="G321" s="6" t="n"/>
      <c r="H321" s="5" t="n"/>
      <c r="I321" s="5" t="n"/>
      <c r="J321" s="6" t="n"/>
      <c r="K321" s="6" t="n"/>
      <c r="L321" s="14" t="n"/>
      <c r="M321" s="14" t="n"/>
      <c r="N321" s="6" t="n"/>
      <c r="O321" s="14" t="n"/>
      <c r="P321" s="4" t="n"/>
      <c r="Q321" s="15">
        <f>IF($E321="","",ROUND(('Settings'!$B$6-$E321)/30.4375,1))</f>
        <v/>
      </c>
      <c r="R321" s="16">
        <f>IF(OR($E321="",N($F321)=0),"",$Q321/$F321)</f>
        <v/>
      </c>
      <c r="S321" s="16">
        <f>IF(N($K321)=0,"",N($J321)/$K321)</f>
        <v/>
      </c>
      <c r="T321" s="17">
        <f>IF(OR($H321="",$G321=""),"",$H321+$G321*7)</f>
        <v/>
      </c>
      <c r="U321" s="9">
        <f>IF(OR($A321="",NOT(OR($P321="Active",$P321="Retention"))),"",IF(AND($I321&lt;&gt;"",$I321&gt;='Settings'!$B$6),"Booked",IF($T321="","",IF('Settings'!$B$6&gt;$T321+'Settings'!$B$7,"Overdue",IF($T321&lt;='Settings'!$B$6+7,"Due this week","On schedule")))))</f>
        <v/>
      </c>
      <c r="V321" s="15">
        <f>IF(OR($L321="",N($N321)=0),"",($L321-N($M321))/$N321)</f>
        <v/>
      </c>
      <c r="W321" s="15">
        <f>IF(OR($L321="",$E321=""),"",MIN($L321,N($M321)+N($V321)*MIN(N($N321),MAX(0,((YEAR('Settings'!$B$6)-YEAR($E321))*12+MONTH('Settings'!$B$6)-MONTH($E321)-IF(DAY('Settings'!$B$6)&lt;DAY($E321),1,0))))))</f>
        <v/>
      </c>
      <c r="X321" s="15">
        <f>IF($L321="","",$L321-N($O321))</f>
        <v/>
      </c>
      <c r="Y321" s="15">
        <f>IF($W321="","",MAX(0,$W321-N($O321)))</f>
        <v/>
      </c>
      <c r="Z321" s="9">
        <f>IF(OR($A321="",$L321=""),"",IF($X321&lt;=0,"Paid in full",IF($Y321&lt;1,"On track",IF($Y321&lt;=$V321,"1 instalment behind","Behind"))))</f>
        <v/>
      </c>
      <c r="AA321" s="18">
        <f>IF($U321="Overdue",COUNTIF($U$3:$U321,"Overdue"),"")</f>
        <v/>
      </c>
    </row>
    <row r="322">
      <c r="A322" s="4" t="n"/>
      <c r="B322" s="4" t="n"/>
      <c r="C322" s="4" t="n"/>
      <c r="D322" s="4" t="n"/>
      <c r="E322" s="5" t="n"/>
      <c r="F322" s="6" t="n"/>
      <c r="G322" s="6" t="n"/>
      <c r="H322" s="5" t="n"/>
      <c r="I322" s="5" t="n"/>
      <c r="J322" s="6" t="n"/>
      <c r="K322" s="6" t="n"/>
      <c r="L322" s="14" t="n"/>
      <c r="M322" s="14" t="n"/>
      <c r="N322" s="6" t="n"/>
      <c r="O322" s="14" t="n"/>
      <c r="P322" s="4" t="n"/>
      <c r="Q322" s="15">
        <f>IF($E322="","",ROUND(('Settings'!$B$6-$E322)/30.4375,1))</f>
        <v/>
      </c>
      <c r="R322" s="16">
        <f>IF(OR($E322="",N($F322)=0),"",$Q322/$F322)</f>
        <v/>
      </c>
      <c r="S322" s="16">
        <f>IF(N($K322)=0,"",N($J322)/$K322)</f>
        <v/>
      </c>
      <c r="T322" s="17">
        <f>IF(OR($H322="",$G322=""),"",$H322+$G322*7)</f>
        <v/>
      </c>
      <c r="U322" s="9">
        <f>IF(OR($A322="",NOT(OR($P322="Active",$P322="Retention"))),"",IF(AND($I322&lt;&gt;"",$I322&gt;='Settings'!$B$6),"Booked",IF($T322="","",IF('Settings'!$B$6&gt;$T322+'Settings'!$B$7,"Overdue",IF($T322&lt;='Settings'!$B$6+7,"Due this week","On schedule")))))</f>
        <v/>
      </c>
      <c r="V322" s="15">
        <f>IF(OR($L322="",N($N322)=0),"",($L322-N($M322))/$N322)</f>
        <v/>
      </c>
      <c r="W322" s="15">
        <f>IF(OR($L322="",$E322=""),"",MIN($L322,N($M322)+N($V322)*MIN(N($N322),MAX(0,((YEAR('Settings'!$B$6)-YEAR($E322))*12+MONTH('Settings'!$B$6)-MONTH($E322)-IF(DAY('Settings'!$B$6)&lt;DAY($E322),1,0))))))</f>
        <v/>
      </c>
      <c r="X322" s="15">
        <f>IF($L322="","",$L322-N($O322))</f>
        <v/>
      </c>
      <c r="Y322" s="15">
        <f>IF($W322="","",MAX(0,$W322-N($O322)))</f>
        <v/>
      </c>
      <c r="Z322" s="9">
        <f>IF(OR($A322="",$L322=""),"",IF($X322&lt;=0,"Paid in full",IF($Y322&lt;1,"On track",IF($Y322&lt;=$V322,"1 instalment behind","Behind"))))</f>
        <v/>
      </c>
      <c r="AA322" s="18">
        <f>IF($U322="Overdue",COUNTIF($U$3:$U322,"Overdue"),"")</f>
        <v/>
      </c>
    </row>
    <row r="323">
      <c r="A323" s="4" t="n"/>
      <c r="B323" s="4" t="n"/>
      <c r="C323" s="4" t="n"/>
      <c r="D323" s="4" t="n"/>
      <c r="E323" s="5" t="n"/>
      <c r="F323" s="6" t="n"/>
      <c r="G323" s="6" t="n"/>
      <c r="H323" s="5" t="n"/>
      <c r="I323" s="5" t="n"/>
      <c r="J323" s="6" t="n"/>
      <c r="K323" s="6" t="n"/>
      <c r="L323" s="14" t="n"/>
      <c r="M323" s="14" t="n"/>
      <c r="N323" s="6" t="n"/>
      <c r="O323" s="14" t="n"/>
      <c r="P323" s="4" t="n"/>
      <c r="Q323" s="15">
        <f>IF($E323="","",ROUND(('Settings'!$B$6-$E323)/30.4375,1))</f>
        <v/>
      </c>
      <c r="R323" s="16">
        <f>IF(OR($E323="",N($F323)=0),"",$Q323/$F323)</f>
        <v/>
      </c>
      <c r="S323" s="16">
        <f>IF(N($K323)=0,"",N($J323)/$K323)</f>
        <v/>
      </c>
      <c r="T323" s="17">
        <f>IF(OR($H323="",$G323=""),"",$H323+$G323*7)</f>
        <v/>
      </c>
      <c r="U323" s="9">
        <f>IF(OR($A323="",NOT(OR($P323="Active",$P323="Retention"))),"",IF(AND($I323&lt;&gt;"",$I323&gt;='Settings'!$B$6),"Booked",IF($T323="","",IF('Settings'!$B$6&gt;$T323+'Settings'!$B$7,"Overdue",IF($T323&lt;='Settings'!$B$6+7,"Due this week","On schedule")))))</f>
        <v/>
      </c>
      <c r="V323" s="15">
        <f>IF(OR($L323="",N($N323)=0),"",($L323-N($M323))/$N323)</f>
        <v/>
      </c>
      <c r="W323" s="15">
        <f>IF(OR($L323="",$E323=""),"",MIN($L323,N($M323)+N($V323)*MIN(N($N323),MAX(0,((YEAR('Settings'!$B$6)-YEAR($E323))*12+MONTH('Settings'!$B$6)-MONTH($E323)-IF(DAY('Settings'!$B$6)&lt;DAY($E323),1,0))))))</f>
        <v/>
      </c>
      <c r="X323" s="15">
        <f>IF($L323="","",$L323-N($O323))</f>
        <v/>
      </c>
      <c r="Y323" s="15">
        <f>IF($W323="","",MAX(0,$W323-N($O323)))</f>
        <v/>
      </c>
      <c r="Z323" s="9">
        <f>IF(OR($A323="",$L323=""),"",IF($X323&lt;=0,"Paid in full",IF($Y323&lt;1,"On track",IF($Y323&lt;=$V323,"1 instalment behind","Behind"))))</f>
        <v/>
      </c>
      <c r="AA323" s="18">
        <f>IF($U323="Overdue",COUNTIF($U$3:$U323,"Overdue"),"")</f>
        <v/>
      </c>
    </row>
    <row r="324">
      <c r="A324" s="4" t="n"/>
      <c r="B324" s="4" t="n"/>
      <c r="C324" s="4" t="n"/>
      <c r="D324" s="4" t="n"/>
      <c r="E324" s="5" t="n"/>
      <c r="F324" s="6" t="n"/>
      <c r="G324" s="6" t="n"/>
      <c r="H324" s="5" t="n"/>
      <c r="I324" s="5" t="n"/>
      <c r="J324" s="6" t="n"/>
      <c r="K324" s="6" t="n"/>
      <c r="L324" s="14" t="n"/>
      <c r="M324" s="14" t="n"/>
      <c r="N324" s="6" t="n"/>
      <c r="O324" s="14" t="n"/>
      <c r="P324" s="4" t="n"/>
      <c r="Q324" s="15">
        <f>IF($E324="","",ROUND(('Settings'!$B$6-$E324)/30.4375,1))</f>
        <v/>
      </c>
      <c r="R324" s="16">
        <f>IF(OR($E324="",N($F324)=0),"",$Q324/$F324)</f>
        <v/>
      </c>
      <c r="S324" s="16">
        <f>IF(N($K324)=0,"",N($J324)/$K324)</f>
        <v/>
      </c>
      <c r="T324" s="17">
        <f>IF(OR($H324="",$G324=""),"",$H324+$G324*7)</f>
        <v/>
      </c>
      <c r="U324" s="9">
        <f>IF(OR($A324="",NOT(OR($P324="Active",$P324="Retention"))),"",IF(AND($I324&lt;&gt;"",$I324&gt;='Settings'!$B$6),"Booked",IF($T324="","",IF('Settings'!$B$6&gt;$T324+'Settings'!$B$7,"Overdue",IF($T324&lt;='Settings'!$B$6+7,"Due this week","On schedule")))))</f>
        <v/>
      </c>
      <c r="V324" s="15">
        <f>IF(OR($L324="",N($N324)=0),"",($L324-N($M324))/$N324)</f>
        <v/>
      </c>
      <c r="W324" s="15">
        <f>IF(OR($L324="",$E324=""),"",MIN($L324,N($M324)+N($V324)*MIN(N($N324),MAX(0,((YEAR('Settings'!$B$6)-YEAR($E324))*12+MONTH('Settings'!$B$6)-MONTH($E324)-IF(DAY('Settings'!$B$6)&lt;DAY($E324),1,0))))))</f>
        <v/>
      </c>
      <c r="X324" s="15">
        <f>IF($L324="","",$L324-N($O324))</f>
        <v/>
      </c>
      <c r="Y324" s="15">
        <f>IF($W324="","",MAX(0,$W324-N($O324)))</f>
        <v/>
      </c>
      <c r="Z324" s="9">
        <f>IF(OR($A324="",$L324=""),"",IF($X324&lt;=0,"Paid in full",IF($Y324&lt;1,"On track",IF($Y324&lt;=$V324,"1 instalment behind","Behind"))))</f>
        <v/>
      </c>
      <c r="AA324" s="18">
        <f>IF($U324="Overdue",COUNTIF($U$3:$U324,"Overdue"),"")</f>
        <v/>
      </c>
    </row>
    <row r="325">
      <c r="A325" s="4" t="n"/>
      <c r="B325" s="4" t="n"/>
      <c r="C325" s="4" t="n"/>
      <c r="D325" s="4" t="n"/>
      <c r="E325" s="5" t="n"/>
      <c r="F325" s="6" t="n"/>
      <c r="G325" s="6" t="n"/>
      <c r="H325" s="5" t="n"/>
      <c r="I325" s="5" t="n"/>
      <c r="J325" s="6" t="n"/>
      <c r="K325" s="6" t="n"/>
      <c r="L325" s="14" t="n"/>
      <c r="M325" s="14" t="n"/>
      <c r="N325" s="6" t="n"/>
      <c r="O325" s="14" t="n"/>
      <c r="P325" s="4" t="n"/>
      <c r="Q325" s="15">
        <f>IF($E325="","",ROUND(('Settings'!$B$6-$E325)/30.4375,1))</f>
        <v/>
      </c>
      <c r="R325" s="16">
        <f>IF(OR($E325="",N($F325)=0),"",$Q325/$F325)</f>
        <v/>
      </c>
      <c r="S325" s="16">
        <f>IF(N($K325)=0,"",N($J325)/$K325)</f>
        <v/>
      </c>
      <c r="T325" s="17">
        <f>IF(OR($H325="",$G325=""),"",$H325+$G325*7)</f>
        <v/>
      </c>
      <c r="U325" s="9">
        <f>IF(OR($A325="",NOT(OR($P325="Active",$P325="Retention"))),"",IF(AND($I325&lt;&gt;"",$I325&gt;='Settings'!$B$6),"Booked",IF($T325="","",IF('Settings'!$B$6&gt;$T325+'Settings'!$B$7,"Overdue",IF($T325&lt;='Settings'!$B$6+7,"Due this week","On schedule")))))</f>
        <v/>
      </c>
      <c r="V325" s="15">
        <f>IF(OR($L325="",N($N325)=0),"",($L325-N($M325))/$N325)</f>
        <v/>
      </c>
      <c r="W325" s="15">
        <f>IF(OR($L325="",$E325=""),"",MIN($L325,N($M325)+N($V325)*MIN(N($N325),MAX(0,((YEAR('Settings'!$B$6)-YEAR($E325))*12+MONTH('Settings'!$B$6)-MONTH($E325)-IF(DAY('Settings'!$B$6)&lt;DAY($E325),1,0))))))</f>
        <v/>
      </c>
      <c r="X325" s="15">
        <f>IF($L325="","",$L325-N($O325))</f>
        <v/>
      </c>
      <c r="Y325" s="15">
        <f>IF($W325="","",MAX(0,$W325-N($O325)))</f>
        <v/>
      </c>
      <c r="Z325" s="9">
        <f>IF(OR($A325="",$L325=""),"",IF($X325&lt;=0,"Paid in full",IF($Y325&lt;1,"On track",IF($Y325&lt;=$V325,"1 instalment behind","Behind"))))</f>
        <v/>
      </c>
      <c r="AA325" s="18">
        <f>IF($U325="Overdue",COUNTIF($U$3:$U325,"Overdue"),"")</f>
        <v/>
      </c>
    </row>
    <row r="326">
      <c r="A326" s="4" t="n"/>
      <c r="B326" s="4" t="n"/>
      <c r="C326" s="4" t="n"/>
      <c r="D326" s="4" t="n"/>
      <c r="E326" s="5" t="n"/>
      <c r="F326" s="6" t="n"/>
      <c r="G326" s="6" t="n"/>
      <c r="H326" s="5" t="n"/>
      <c r="I326" s="5" t="n"/>
      <c r="J326" s="6" t="n"/>
      <c r="K326" s="6" t="n"/>
      <c r="L326" s="14" t="n"/>
      <c r="M326" s="14" t="n"/>
      <c r="N326" s="6" t="n"/>
      <c r="O326" s="14" t="n"/>
      <c r="P326" s="4" t="n"/>
      <c r="Q326" s="15">
        <f>IF($E326="","",ROUND(('Settings'!$B$6-$E326)/30.4375,1))</f>
        <v/>
      </c>
      <c r="R326" s="16">
        <f>IF(OR($E326="",N($F326)=0),"",$Q326/$F326)</f>
        <v/>
      </c>
      <c r="S326" s="16">
        <f>IF(N($K326)=0,"",N($J326)/$K326)</f>
        <v/>
      </c>
      <c r="T326" s="17">
        <f>IF(OR($H326="",$G326=""),"",$H326+$G326*7)</f>
        <v/>
      </c>
      <c r="U326" s="9">
        <f>IF(OR($A326="",NOT(OR($P326="Active",$P326="Retention"))),"",IF(AND($I326&lt;&gt;"",$I326&gt;='Settings'!$B$6),"Booked",IF($T326="","",IF('Settings'!$B$6&gt;$T326+'Settings'!$B$7,"Overdue",IF($T326&lt;='Settings'!$B$6+7,"Due this week","On schedule")))))</f>
        <v/>
      </c>
      <c r="V326" s="15">
        <f>IF(OR($L326="",N($N326)=0),"",($L326-N($M326))/$N326)</f>
        <v/>
      </c>
      <c r="W326" s="15">
        <f>IF(OR($L326="",$E326=""),"",MIN($L326,N($M326)+N($V326)*MIN(N($N326),MAX(0,((YEAR('Settings'!$B$6)-YEAR($E326))*12+MONTH('Settings'!$B$6)-MONTH($E326)-IF(DAY('Settings'!$B$6)&lt;DAY($E326),1,0))))))</f>
        <v/>
      </c>
      <c r="X326" s="15">
        <f>IF($L326="","",$L326-N($O326))</f>
        <v/>
      </c>
      <c r="Y326" s="15">
        <f>IF($W326="","",MAX(0,$W326-N($O326)))</f>
        <v/>
      </c>
      <c r="Z326" s="9">
        <f>IF(OR($A326="",$L326=""),"",IF($X326&lt;=0,"Paid in full",IF($Y326&lt;1,"On track",IF($Y326&lt;=$V326,"1 instalment behind","Behind"))))</f>
        <v/>
      </c>
      <c r="AA326" s="18">
        <f>IF($U326="Overdue",COUNTIF($U$3:$U326,"Overdue"),"")</f>
        <v/>
      </c>
    </row>
    <row r="327">
      <c r="A327" s="4" t="n"/>
      <c r="B327" s="4" t="n"/>
      <c r="C327" s="4" t="n"/>
      <c r="D327" s="4" t="n"/>
      <c r="E327" s="5" t="n"/>
      <c r="F327" s="6" t="n"/>
      <c r="G327" s="6" t="n"/>
      <c r="H327" s="5" t="n"/>
      <c r="I327" s="5" t="n"/>
      <c r="J327" s="6" t="n"/>
      <c r="K327" s="6" t="n"/>
      <c r="L327" s="14" t="n"/>
      <c r="M327" s="14" t="n"/>
      <c r="N327" s="6" t="n"/>
      <c r="O327" s="14" t="n"/>
      <c r="P327" s="4" t="n"/>
      <c r="Q327" s="15">
        <f>IF($E327="","",ROUND(('Settings'!$B$6-$E327)/30.4375,1))</f>
        <v/>
      </c>
      <c r="R327" s="16">
        <f>IF(OR($E327="",N($F327)=0),"",$Q327/$F327)</f>
        <v/>
      </c>
      <c r="S327" s="16">
        <f>IF(N($K327)=0,"",N($J327)/$K327)</f>
        <v/>
      </c>
      <c r="T327" s="17">
        <f>IF(OR($H327="",$G327=""),"",$H327+$G327*7)</f>
        <v/>
      </c>
      <c r="U327" s="9">
        <f>IF(OR($A327="",NOT(OR($P327="Active",$P327="Retention"))),"",IF(AND($I327&lt;&gt;"",$I327&gt;='Settings'!$B$6),"Booked",IF($T327="","",IF('Settings'!$B$6&gt;$T327+'Settings'!$B$7,"Overdue",IF($T327&lt;='Settings'!$B$6+7,"Due this week","On schedule")))))</f>
        <v/>
      </c>
      <c r="V327" s="15">
        <f>IF(OR($L327="",N($N327)=0),"",($L327-N($M327))/$N327)</f>
        <v/>
      </c>
      <c r="W327" s="15">
        <f>IF(OR($L327="",$E327=""),"",MIN($L327,N($M327)+N($V327)*MIN(N($N327),MAX(0,((YEAR('Settings'!$B$6)-YEAR($E327))*12+MONTH('Settings'!$B$6)-MONTH($E327)-IF(DAY('Settings'!$B$6)&lt;DAY($E327),1,0))))))</f>
        <v/>
      </c>
      <c r="X327" s="15">
        <f>IF($L327="","",$L327-N($O327))</f>
        <v/>
      </c>
      <c r="Y327" s="15">
        <f>IF($W327="","",MAX(0,$W327-N($O327)))</f>
        <v/>
      </c>
      <c r="Z327" s="9">
        <f>IF(OR($A327="",$L327=""),"",IF($X327&lt;=0,"Paid in full",IF($Y327&lt;1,"On track",IF($Y327&lt;=$V327,"1 instalment behind","Behind"))))</f>
        <v/>
      </c>
      <c r="AA327" s="18">
        <f>IF($U327="Overdue",COUNTIF($U$3:$U327,"Overdue"),"")</f>
        <v/>
      </c>
    </row>
    <row r="328">
      <c r="A328" s="4" t="n"/>
      <c r="B328" s="4" t="n"/>
      <c r="C328" s="4" t="n"/>
      <c r="D328" s="4" t="n"/>
      <c r="E328" s="5" t="n"/>
      <c r="F328" s="6" t="n"/>
      <c r="G328" s="6" t="n"/>
      <c r="H328" s="5" t="n"/>
      <c r="I328" s="5" t="n"/>
      <c r="J328" s="6" t="n"/>
      <c r="K328" s="6" t="n"/>
      <c r="L328" s="14" t="n"/>
      <c r="M328" s="14" t="n"/>
      <c r="N328" s="6" t="n"/>
      <c r="O328" s="14" t="n"/>
      <c r="P328" s="4" t="n"/>
      <c r="Q328" s="15">
        <f>IF($E328="","",ROUND(('Settings'!$B$6-$E328)/30.4375,1))</f>
        <v/>
      </c>
      <c r="R328" s="16">
        <f>IF(OR($E328="",N($F328)=0),"",$Q328/$F328)</f>
        <v/>
      </c>
      <c r="S328" s="16">
        <f>IF(N($K328)=0,"",N($J328)/$K328)</f>
        <v/>
      </c>
      <c r="T328" s="17">
        <f>IF(OR($H328="",$G328=""),"",$H328+$G328*7)</f>
        <v/>
      </c>
      <c r="U328" s="9">
        <f>IF(OR($A328="",NOT(OR($P328="Active",$P328="Retention"))),"",IF(AND($I328&lt;&gt;"",$I328&gt;='Settings'!$B$6),"Booked",IF($T328="","",IF('Settings'!$B$6&gt;$T328+'Settings'!$B$7,"Overdue",IF($T328&lt;='Settings'!$B$6+7,"Due this week","On schedule")))))</f>
        <v/>
      </c>
      <c r="V328" s="15">
        <f>IF(OR($L328="",N($N328)=0),"",($L328-N($M328))/$N328)</f>
        <v/>
      </c>
      <c r="W328" s="15">
        <f>IF(OR($L328="",$E328=""),"",MIN($L328,N($M328)+N($V328)*MIN(N($N328),MAX(0,((YEAR('Settings'!$B$6)-YEAR($E328))*12+MONTH('Settings'!$B$6)-MONTH($E328)-IF(DAY('Settings'!$B$6)&lt;DAY($E328),1,0))))))</f>
        <v/>
      </c>
      <c r="X328" s="15">
        <f>IF($L328="","",$L328-N($O328))</f>
        <v/>
      </c>
      <c r="Y328" s="15">
        <f>IF($W328="","",MAX(0,$W328-N($O328)))</f>
        <v/>
      </c>
      <c r="Z328" s="9">
        <f>IF(OR($A328="",$L328=""),"",IF($X328&lt;=0,"Paid in full",IF($Y328&lt;1,"On track",IF($Y328&lt;=$V328,"1 instalment behind","Behind"))))</f>
        <v/>
      </c>
      <c r="AA328" s="18">
        <f>IF($U328="Overdue",COUNTIF($U$3:$U328,"Overdue"),"")</f>
        <v/>
      </c>
    </row>
    <row r="329">
      <c r="A329" s="4" t="n"/>
      <c r="B329" s="4" t="n"/>
      <c r="C329" s="4" t="n"/>
      <c r="D329" s="4" t="n"/>
      <c r="E329" s="5" t="n"/>
      <c r="F329" s="6" t="n"/>
      <c r="G329" s="6" t="n"/>
      <c r="H329" s="5" t="n"/>
      <c r="I329" s="5" t="n"/>
      <c r="J329" s="6" t="n"/>
      <c r="K329" s="6" t="n"/>
      <c r="L329" s="14" t="n"/>
      <c r="M329" s="14" t="n"/>
      <c r="N329" s="6" t="n"/>
      <c r="O329" s="14" t="n"/>
      <c r="P329" s="4" t="n"/>
      <c r="Q329" s="15">
        <f>IF($E329="","",ROUND(('Settings'!$B$6-$E329)/30.4375,1))</f>
        <v/>
      </c>
      <c r="R329" s="16">
        <f>IF(OR($E329="",N($F329)=0),"",$Q329/$F329)</f>
        <v/>
      </c>
      <c r="S329" s="16">
        <f>IF(N($K329)=0,"",N($J329)/$K329)</f>
        <v/>
      </c>
      <c r="T329" s="17">
        <f>IF(OR($H329="",$G329=""),"",$H329+$G329*7)</f>
        <v/>
      </c>
      <c r="U329" s="9">
        <f>IF(OR($A329="",NOT(OR($P329="Active",$P329="Retention"))),"",IF(AND($I329&lt;&gt;"",$I329&gt;='Settings'!$B$6),"Booked",IF($T329="","",IF('Settings'!$B$6&gt;$T329+'Settings'!$B$7,"Overdue",IF($T329&lt;='Settings'!$B$6+7,"Due this week","On schedule")))))</f>
        <v/>
      </c>
      <c r="V329" s="15">
        <f>IF(OR($L329="",N($N329)=0),"",($L329-N($M329))/$N329)</f>
        <v/>
      </c>
      <c r="W329" s="15">
        <f>IF(OR($L329="",$E329=""),"",MIN($L329,N($M329)+N($V329)*MIN(N($N329),MAX(0,((YEAR('Settings'!$B$6)-YEAR($E329))*12+MONTH('Settings'!$B$6)-MONTH($E329)-IF(DAY('Settings'!$B$6)&lt;DAY($E329),1,0))))))</f>
        <v/>
      </c>
      <c r="X329" s="15">
        <f>IF($L329="","",$L329-N($O329))</f>
        <v/>
      </c>
      <c r="Y329" s="15">
        <f>IF($W329="","",MAX(0,$W329-N($O329)))</f>
        <v/>
      </c>
      <c r="Z329" s="9">
        <f>IF(OR($A329="",$L329=""),"",IF($X329&lt;=0,"Paid in full",IF($Y329&lt;1,"On track",IF($Y329&lt;=$V329,"1 instalment behind","Behind"))))</f>
        <v/>
      </c>
      <c r="AA329" s="18">
        <f>IF($U329="Overdue",COUNTIF($U$3:$U329,"Overdue"),"")</f>
        <v/>
      </c>
    </row>
    <row r="330">
      <c r="A330" s="4" t="n"/>
      <c r="B330" s="4" t="n"/>
      <c r="C330" s="4" t="n"/>
      <c r="D330" s="4" t="n"/>
      <c r="E330" s="5" t="n"/>
      <c r="F330" s="6" t="n"/>
      <c r="G330" s="6" t="n"/>
      <c r="H330" s="5" t="n"/>
      <c r="I330" s="5" t="n"/>
      <c r="J330" s="6" t="n"/>
      <c r="K330" s="6" t="n"/>
      <c r="L330" s="14" t="n"/>
      <c r="M330" s="14" t="n"/>
      <c r="N330" s="6" t="n"/>
      <c r="O330" s="14" t="n"/>
      <c r="P330" s="4" t="n"/>
      <c r="Q330" s="15">
        <f>IF($E330="","",ROUND(('Settings'!$B$6-$E330)/30.4375,1))</f>
        <v/>
      </c>
      <c r="R330" s="16">
        <f>IF(OR($E330="",N($F330)=0),"",$Q330/$F330)</f>
        <v/>
      </c>
      <c r="S330" s="16">
        <f>IF(N($K330)=0,"",N($J330)/$K330)</f>
        <v/>
      </c>
      <c r="T330" s="17">
        <f>IF(OR($H330="",$G330=""),"",$H330+$G330*7)</f>
        <v/>
      </c>
      <c r="U330" s="9">
        <f>IF(OR($A330="",NOT(OR($P330="Active",$P330="Retention"))),"",IF(AND($I330&lt;&gt;"",$I330&gt;='Settings'!$B$6),"Booked",IF($T330="","",IF('Settings'!$B$6&gt;$T330+'Settings'!$B$7,"Overdue",IF($T330&lt;='Settings'!$B$6+7,"Due this week","On schedule")))))</f>
        <v/>
      </c>
      <c r="V330" s="15">
        <f>IF(OR($L330="",N($N330)=0),"",($L330-N($M330))/$N330)</f>
        <v/>
      </c>
      <c r="W330" s="15">
        <f>IF(OR($L330="",$E330=""),"",MIN($L330,N($M330)+N($V330)*MIN(N($N330),MAX(0,((YEAR('Settings'!$B$6)-YEAR($E330))*12+MONTH('Settings'!$B$6)-MONTH($E330)-IF(DAY('Settings'!$B$6)&lt;DAY($E330),1,0))))))</f>
        <v/>
      </c>
      <c r="X330" s="15">
        <f>IF($L330="","",$L330-N($O330))</f>
        <v/>
      </c>
      <c r="Y330" s="15">
        <f>IF($W330="","",MAX(0,$W330-N($O330)))</f>
        <v/>
      </c>
      <c r="Z330" s="9">
        <f>IF(OR($A330="",$L330=""),"",IF($X330&lt;=0,"Paid in full",IF($Y330&lt;1,"On track",IF($Y330&lt;=$V330,"1 instalment behind","Behind"))))</f>
        <v/>
      </c>
      <c r="AA330" s="18">
        <f>IF($U330="Overdue",COUNTIF($U$3:$U330,"Overdue"),"")</f>
        <v/>
      </c>
    </row>
    <row r="331">
      <c r="A331" s="4" t="n"/>
      <c r="B331" s="4" t="n"/>
      <c r="C331" s="4" t="n"/>
      <c r="D331" s="4" t="n"/>
      <c r="E331" s="5" t="n"/>
      <c r="F331" s="6" t="n"/>
      <c r="G331" s="6" t="n"/>
      <c r="H331" s="5" t="n"/>
      <c r="I331" s="5" t="n"/>
      <c r="J331" s="6" t="n"/>
      <c r="K331" s="6" t="n"/>
      <c r="L331" s="14" t="n"/>
      <c r="M331" s="14" t="n"/>
      <c r="N331" s="6" t="n"/>
      <c r="O331" s="14" t="n"/>
      <c r="P331" s="4" t="n"/>
      <c r="Q331" s="15">
        <f>IF($E331="","",ROUND(('Settings'!$B$6-$E331)/30.4375,1))</f>
        <v/>
      </c>
      <c r="R331" s="16">
        <f>IF(OR($E331="",N($F331)=0),"",$Q331/$F331)</f>
        <v/>
      </c>
      <c r="S331" s="16">
        <f>IF(N($K331)=0,"",N($J331)/$K331)</f>
        <v/>
      </c>
      <c r="T331" s="17">
        <f>IF(OR($H331="",$G331=""),"",$H331+$G331*7)</f>
        <v/>
      </c>
      <c r="U331" s="9">
        <f>IF(OR($A331="",NOT(OR($P331="Active",$P331="Retention"))),"",IF(AND($I331&lt;&gt;"",$I331&gt;='Settings'!$B$6),"Booked",IF($T331="","",IF('Settings'!$B$6&gt;$T331+'Settings'!$B$7,"Overdue",IF($T331&lt;='Settings'!$B$6+7,"Due this week","On schedule")))))</f>
        <v/>
      </c>
      <c r="V331" s="15">
        <f>IF(OR($L331="",N($N331)=0),"",($L331-N($M331))/$N331)</f>
        <v/>
      </c>
      <c r="W331" s="15">
        <f>IF(OR($L331="",$E331=""),"",MIN($L331,N($M331)+N($V331)*MIN(N($N331),MAX(0,((YEAR('Settings'!$B$6)-YEAR($E331))*12+MONTH('Settings'!$B$6)-MONTH($E331)-IF(DAY('Settings'!$B$6)&lt;DAY($E331),1,0))))))</f>
        <v/>
      </c>
      <c r="X331" s="15">
        <f>IF($L331="","",$L331-N($O331))</f>
        <v/>
      </c>
      <c r="Y331" s="15">
        <f>IF($W331="","",MAX(0,$W331-N($O331)))</f>
        <v/>
      </c>
      <c r="Z331" s="9">
        <f>IF(OR($A331="",$L331=""),"",IF($X331&lt;=0,"Paid in full",IF($Y331&lt;1,"On track",IF($Y331&lt;=$V331,"1 instalment behind","Behind"))))</f>
        <v/>
      </c>
      <c r="AA331" s="18">
        <f>IF($U331="Overdue",COUNTIF($U$3:$U331,"Overdue"),"")</f>
        <v/>
      </c>
    </row>
    <row r="332">
      <c r="A332" s="4" t="n"/>
      <c r="B332" s="4" t="n"/>
      <c r="C332" s="4" t="n"/>
      <c r="D332" s="4" t="n"/>
      <c r="E332" s="5" t="n"/>
      <c r="F332" s="6" t="n"/>
      <c r="G332" s="6" t="n"/>
      <c r="H332" s="5" t="n"/>
      <c r="I332" s="5" t="n"/>
      <c r="J332" s="6" t="n"/>
      <c r="K332" s="6" t="n"/>
      <c r="L332" s="14" t="n"/>
      <c r="M332" s="14" t="n"/>
      <c r="N332" s="6" t="n"/>
      <c r="O332" s="14" t="n"/>
      <c r="P332" s="4" t="n"/>
      <c r="Q332" s="15">
        <f>IF($E332="","",ROUND(('Settings'!$B$6-$E332)/30.4375,1))</f>
        <v/>
      </c>
      <c r="R332" s="16">
        <f>IF(OR($E332="",N($F332)=0),"",$Q332/$F332)</f>
        <v/>
      </c>
      <c r="S332" s="16">
        <f>IF(N($K332)=0,"",N($J332)/$K332)</f>
        <v/>
      </c>
      <c r="T332" s="17">
        <f>IF(OR($H332="",$G332=""),"",$H332+$G332*7)</f>
        <v/>
      </c>
      <c r="U332" s="9">
        <f>IF(OR($A332="",NOT(OR($P332="Active",$P332="Retention"))),"",IF(AND($I332&lt;&gt;"",$I332&gt;='Settings'!$B$6),"Booked",IF($T332="","",IF('Settings'!$B$6&gt;$T332+'Settings'!$B$7,"Overdue",IF($T332&lt;='Settings'!$B$6+7,"Due this week","On schedule")))))</f>
        <v/>
      </c>
      <c r="V332" s="15">
        <f>IF(OR($L332="",N($N332)=0),"",($L332-N($M332))/$N332)</f>
        <v/>
      </c>
      <c r="W332" s="15">
        <f>IF(OR($L332="",$E332=""),"",MIN($L332,N($M332)+N($V332)*MIN(N($N332),MAX(0,((YEAR('Settings'!$B$6)-YEAR($E332))*12+MONTH('Settings'!$B$6)-MONTH($E332)-IF(DAY('Settings'!$B$6)&lt;DAY($E332),1,0))))))</f>
        <v/>
      </c>
      <c r="X332" s="15">
        <f>IF($L332="","",$L332-N($O332))</f>
        <v/>
      </c>
      <c r="Y332" s="15">
        <f>IF($W332="","",MAX(0,$W332-N($O332)))</f>
        <v/>
      </c>
      <c r="Z332" s="9">
        <f>IF(OR($A332="",$L332=""),"",IF($X332&lt;=0,"Paid in full",IF($Y332&lt;1,"On track",IF($Y332&lt;=$V332,"1 instalment behind","Behind"))))</f>
        <v/>
      </c>
      <c r="AA332" s="18">
        <f>IF($U332="Overdue",COUNTIF($U$3:$U332,"Overdue"),"")</f>
        <v/>
      </c>
    </row>
    <row r="333">
      <c r="A333" s="4" t="n"/>
      <c r="B333" s="4" t="n"/>
      <c r="C333" s="4" t="n"/>
      <c r="D333" s="4" t="n"/>
      <c r="E333" s="5" t="n"/>
      <c r="F333" s="6" t="n"/>
      <c r="G333" s="6" t="n"/>
      <c r="H333" s="5" t="n"/>
      <c r="I333" s="5" t="n"/>
      <c r="J333" s="6" t="n"/>
      <c r="K333" s="6" t="n"/>
      <c r="L333" s="14" t="n"/>
      <c r="M333" s="14" t="n"/>
      <c r="N333" s="6" t="n"/>
      <c r="O333" s="14" t="n"/>
      <c r="P333" s="4" t="n"/>
      <c r="Q333" s="15">
        <f>IF($E333="","",ROUND(('Settings'!$B$6-$E333)/30.4375,1))</f>
        <v/>
      </c>
      <c r="R333" s="16">
        <f>IF(OR($E333="",N($F333)=0),"",$Q333/$F333)</f>
        <v/>
      </c>
      <c r="S333" s="16">
        <f>IF(N($K333)=0,"",N($J333)/$K333)</f>
        <v/>
      </c>
      <c r="T333" s="17">
        <f>IF(OR($H333="",$G333=""),"",$H333+$G333*7)</f>
        <v/>
      </c>
      <c r="U333" s="9">
        <f>IF(OR($A333="",NOT(OR($P333="Active",$P333="Retention"))),"",IF(AND($I333&lt;&gt;"",$I333&gt;='Settings'!$B$6),"Booked",IF($T333="","",IF('Settings'!$B$6&gt;$T333+'Settings'!$B$7,"Overdue",IF($T333&lt;='Settings'!$B$6+7,"Due this week","On schedule")))))</f>
        <v/>
      </c>
      <c r="V333" s="15">
        <f>IF(OR($L333="",N($N333)=0),"",($L333-N($M333))/$N333)</f>
        <v/>
      </c>
      <c r="W333" s="15">
        <f>IF(OR($L333="",$E333=""),"",MIN($L333,N($M333)+N($V333)*MIN(N($N333),MAX(0,((YEAR('Settings'!$B$6)-YEAR($E333))*12+MONTH('Settings'!$B$6)-MONTH($E333)-IF(DAY('Settings'!$B$6)&lt;DAY($E333),1,0))))))</f>
        <v/>
      </c>
      <c r="X333" s="15">
        <f>IF($L333="","",$L333-N($O333))</f>
        <v/>
      </c>
      <c r="Y333" s="15">
        <f>IF($W333="","",MAX(0,$W333-N($O333)))</f>
        <v/>
      </c>
      <c r="Z333" s="9">
        <f>IF(OR($A333="",$L333=""),"",IF($X333&lt;=0,"Paid in full",IF($Y333&lt;1,"On track",IF($Y333&lt;=$V333,"1 instalment behind","Behind"))))</f>
        <v/>
      </c>
      <c r="AA333" s="18">
        <f>IF($U333="Overdue",COUNTIF($U$3:$U333,"Overdue"),"")</f>
        <v/>
      </c>
    </row>
    <row r="334">
      <c r="A334" s="4" t="n"/>
      <c r="B334" s="4" t="n"/>
      <c r="C334" s="4" t="n"/>
      <c r="D334" s="4" t="n"/>
      <c r="E334" s="5" t="n"/>
      <c r="F334" s="6" t="n"/>
      <c r="G334" s="6" t="n"/>
      <c r="H334" s="5" t="n"/>
      <c r="I334" s="5" t="n"/>
      <c r="J334" s="6" t="n"/>
      <c r="K334" s="6" t="n"/>
      <c r="L334" s="14" t="n"/>
      <c r="M334" s="14" t="n"/>
      <c r="N334" s="6" t="n"/>
      <c r="O334" s="14" t="n"/>
      <c r="P334" s="4" t="n"/>
      <c r="Q334" s="15">
        <f>IF($E334="","",ROUND(('Settings'!$B$6-$E334)/30.4375,1))</f>
        <v/>
      </c>
      <c r="R334" s="16">
        <f>IF(OR($E334="",N($F334)=0),"",$Q334/$F334)</f>
        <v/>
      </c>
      <c r="S334" s="16">
        <f>IF(N($K334)=0,"",N($J334)/$K334)</f>
        <v/>
      </c>
      <c r="T334" s="17">
        <f>IF(OR($H334="",$G334=""),"",$H334+$G334*7)</f>
        <v/>
      </c>
      <c r="U334" s="9">
        <f>IF(OR($A334="",NOT(OR($P334="Active",$P334="Retention"))),"",IF(AND($I334&lt;&gt;"",$I334&gt;='Settings'!$B$6),"Booked",IF($T334="","",IF('Settings'!$B$6&gt;$T334+'Settings'!$B$7,"Overdue",IF($T334&lt;='Settings'!$B$6+7,"Due this week","On schedule")))))</f>
        <v/>
      </c>
      <c r="V334" s="15">
        <f>IF(OR($L334="",N($N334)=0),"",($L334-N($M334))/$N334)</f>
        <v/>
      </c>
      <c r="W334" s="15">
        <f>IF(OR($L334="",$E334=""),"",MIN($L334,N($M334)+N($V334)*MIN(N($N334),MAX(0,((YEAR('Settings'!$B$6)-YEAR($E334))*12+MONTH('Settings'!$B$6)-MONTH($E334)-IF(DAY('Settings'!$B$6)&lt;DAY($E334),1,0))))))</f>
        <v/>
      </c>
      <c r="X334" s="15">
        <f>IF($L334="","",$L334-N($O334))</f>
        <v/>
      </c>
      <c r="Y334" s="15">
        <f>IF($W334="","",MAX(0,$W334-N($O334)))</f>
        <v/>
      </c>
      <c r="Z334" s="9">
        <f>IF(OR($A334="",$L334=""),"",IF($X334&lt;=0,"Paid in full",IF($Y334&lt;1,"On track",IF($Y334&lt;=$V334,"1 instalment behind","Behind"))))</f>
        <v/>
      </c>
      <c r="AA334" s="18">
        <f>IF($U334="Overdue",COUNTIF($U$3:$U334,"Overdue"),"")</f>
        <v/>
      </c>
    </row>
    <row r="335">
      <c r="A335" s="4" t="n"/>
      <c r="B335" s="4" t="n"/>
      <c r="C335" s="4" t="n"/>
      <c r="D335" s="4" t="n"/>
      <c r="E335" s="5" t="n"/>
      <c r="F335" s="6" t="n"/>
      <c r="G335" s="6" t="n"/>
      <c r="H335" s="5" t="n"/>
      <c r="I335" s="5" t="n"/>
      <c r="J335" s="6" t="n"/>
      <c r="K335" s="6" t="n"/>
      <c r="L335" s="14" t="n"/>
      <c r="M335" s="14" t="n"/>
      <c r="N335" s="6" t="n"/>
      <c r="O335" s="14" t="n"/>
      <c r="P335" s="4" t="n"/>
      <c r="Q335" s="15">
        <f>IF($E335="","",ROUND(('Settings'!$B$6-$E335)/30.4375,1))</f>
        <v/>
      </c>
      <c r="R335" s="16">
        <f>IF(OR($E335="",N($F335)=0),"",$Q335/$F335)</f>
        <v/>
      </c>
      <c r="S335" s="16">
        <f>IF(N($K335)=0,"",N($J335)/$K335)</f>
        <v/>
      </c>
      <c r="T335" s="17">
        <f>IF(OR($H335="",$G335=""),"",$H335+$G335*7)</f>
        <v/>
      </c>
      <c r="U335" s="9">
        <f>IF(OR($A335="",NOT(OR($P335="Active",$P335="Retention"))),"",IF(AND($I335&lt;&gt;"",$I335&gt;='Settings'!$B$6),"Booked",IF($T335="","",IF('Settings'!$B$6&gt;$T335+'Settings'!$B$7,"Overdue",IF($T335&lt;='Settings'!$B$6+7,"Due this week","On schedule")))))</f>
        <v/>
      </c>
      <c r="V335" s="15">
        <f>IF(OR($L335="",N($N335)=0),"",($L335-N($M335))/$N335)</f>
        <v/>
      </c>
      <c r="W335" s="15">
        <f>IF(OR($L335="",$E335=""),"",MIN($L335,N($M335)+N($V335)*MIN(N($N335),MAX(0,((YEAR('Settings'!$B$6)-YEAR($E335))*12+MONTH('Settings'!$B$6)-MONTH($E335)-IF(DAY('Settings'!$B$6)&lt;DAY($E335),1,0))))))</f>
        <v/>
      </c>
      <c r="X335" s="15">
        <f>IF($L335="","",$L335-N($O335))</f>
        <v/>
      </c>
      <c r="Y335" s="15">
        <f>IF($W335="","",MAX(0,$W335-N($O335)))</f>
        <v/>
      </c>
      <c r="Z335" s="9">
        <f>IF(OR($A335="",$L335=""),"",IF($X335&lt;=0,"Paid in full",IF($Y335&lt;1,"On track",IF($Y335&lt;=$V335,"1 instalment behind","Behind"))))</f>
        <v/>
      </c>
      <c r="AA335" s="18">
        <f>IF($U335="Overdue",COUNTIF($U$3:$U335,"Overdue"),"")</f>
        <v/>
      </c>
    </row>
    <row r="336">
      <c r="A336" s="4" t="n"/>
      <c r="B336" s="4" t="n"/>
      <c r="C336" s="4" t="n"/>
      <c r="D336" s="4" t="n"/>
      <c r="E336" s="5" t="n"/>
      <c r="F336" s="6" t="n"/>
      <c r="G336" s="6" t="n"/>
      <c r="H336" s="5" t="n"/>
      <c r="I336" s="5" t="n"/>
      <c r="J336" s="6" t="n"/>
      <c r="K336" s="6" t="n"/>
      <c r="L336" s="14" t="n"/>
      <c r="M336" s="14" t="n"/>
      <c r="N336" s="6" t="n"/>
      <c r="O336" s="14" t="n"/>
      <c r="P336" s="4" t="n"/>
      <c r="Q336" s="15">
        <f>IF($E336="","",ROUND(('Settings'!$B$6-$E336)/30.4375,1))</f>
        <v/>
      </c>
      <c r="R336" s="16">
        <f>IF(OR($E336="",N($F336)=0),"",$Q336/$F336)</f>
        <v/>
      </c>
      <c r="S336" s="16">
        <f>IF(N($K336)=0,"",N($J336)/$K336)</f>
        <v/>
      </c>
      <c r="T336" s="17">
        <f>IF(OR($H336="",$G336=""),"",$H336+$G336*7)</f>
        <v/>
      </c>
      <c r="U336" s="9">
        <f>IF(OR($A336="",NOT(OR($P336="Active",$P336="Retention"))),"",IF(AND($I336&lt;&gt;"",$I336&gt;='Settings'!$B$6),"Booked",IF($T336="","",IF('Settings'!$B$6&gt;$T336+'Settings'!$B$7,"Overdue",IF($T336&lt;='Settings'!$B$6+7,"Due this week","On schedule")))))</f>
        <v/>
      </c>
      <c r="V336" s="15">
        <f>IF(OR($L336="",N($N336)=0),"",($L336-N($M336))/$N336)</f>
        <v/>
      </c>
      <c r="W336" s="15">
        <f>IF(OR($L336="",$E336=""),"",MIN($L336,N($M336)+N($V336)*MIN(N($N336),MAX(0,((YEAR('Settings'!$B$6)-YEAR($E336))*12+MONTH('Settings'!$B$6)-MONTH($E336)-IF(DAY('Settings'!$B$6)&lt;DAY($E336),1,0))))))</f>
        <v/>
      </c>
      <c r="X336" s="15">
        <f>IF($L336="","",$L336-N($O336))</f>
        <v/>
      </c>
      <c r="Y336" s="15">
        <f>IF($W336="","",MAX(0,$W336-N($O336)))</f>
        <v/>
      </c>
      <c r="Z336" s="9">
        <f>IF(OR($A336="",$L336=""),"",IF($X336&lt;=0,"Paid in full",IF($Y336&lt;1,"On track",IF($Y336&lt;=$V336,"1 instalment behind","Behind"))))</f>
        <v/>
      </c>
      <c r="AA336" s="18">
        <f>IF($U336="Overdue",COUNTIF($U$3:$U336,"Overdue"),"")</f>
        <v/>
      </c>
    </row>
    <row r="337">
      <c r="A337" s="4" t="n"/>
      <c r="B337" s="4" t="n"/>
      <c r="C337" s="4" t="n"/>
      <c r="D337" s="4" t="n"/>
      <c r="E337" s="5" t="n"/>
      <c r="F337" s="6" t="n"/>
      <c r="G337" s="6" t="n"/>
      <c r="H337" s="5" t="n"/>
      <c r="I337" s="5" t="n"/>
      <c r="J337" s="6" t="n"/>
      <c r="K337" s="6" t="n"/>
      <c r="L337" s="14" t="n"/>
      <c r="M337" s="14" t="n"/>
      <c r="N337" s="6" t="n"/>
      <c r="O337" s="14" t="n"/>
      <c r="P337" s="4" t="n"/>
      <c r="Q337" s="15">
        <f>IF($E337="","",ROUND(('Settings'!$B$6-$E337)/30.4375,1))</f>
        <v/>
      </c>
      <c r="R337" s="16">
        <f>IF(OR($E337="",N($F337)=0),"",$Q337/$F337)</f>
        <v/>
      </c>
      <c r="S337" s="16">
        <f>IF(N($K337)=0,"",N($J337)/$K337)</f>
        <v/>
      </c>
      <c r="T337" s="17">
        <f>IF(OR($H337="",$G337=""),"",$H337+$G337*7)</f>
        <v/>
      </c>
      <c r="U337" s="9">
        <f>IF(OR($A337="",NOT(OR($P337="Active",$P337="Retention"))),"",IF(AND($I337&lt;&gt;"",$I337&gt;='Settings'!$B$6),"Booked",IF($T337="","",IF('Settings'!$B$6&gt;$T337+'Settings'!$B$7,"Overdue",IF($T337&lt;='Settings'!$B$6+7,"Due this week","On schedule")))))</f>
        <v/>
      </c>
      <c r="V337" s="15">
        <f>IF(OR($L337="",N($N337)=0),"",($L337-N($M337))/$N337)</f>
        <v/>
      </c>
      <c r="W337" s="15">
        <f>IF(OR($L337="",$E337=""),"",MIN($L337,N($M337)+N($V337)*MIN(N($N337),MAX(0,((YEAR('Settings'!$B$6)-YEAR($E337))*12+MONTH('Settings'!$B$6)-MONTH($E337)-IF(DAY('Settings'!$B$6)&lt;DAY($E337),1,0))))))</f>
        <v/>
      </c>
      <c r="X337" s="15">
        <f>IF($L337="","",$L337-N($O337))</f>
        <v/>
      </c>
      <c r="Y337" s="15">
        <f>IF($W337="","",MAX(0,$W337-N($O337)))</f>
        <v/>
      </c>
      <c r="Z337" s="9">
        <f>IF(OR($A337="",$L337=""),"",IF($X337&lt;=0,"Paid in full",IF($Y337&lt;1,"On track",IF($Y337&lt;=$V337,"1 instalment behind","Behind"))))</f>
        <v/>
      </c>
      <c r="AA337" s="18">
        <f>IF($U337="Overdue",COUNTIF($U$3:$U337,"Overdue"),"")</f>
        <v/>
      </c>
    </row>
    <row r="338">
      <c r="A338" s="4" t="n"/>
      <c r="B338" s="4" t="n"/>
      <c r="C338" s="4" t="n"/>
      <c r="D338" s="4" t="n"/>
      <c r="E338" s="5" t="n"/>
      <c r="F338" s="6" t="n"/>
      <c r="G338" s="6" t="n"/>
      <c r="H338" s="5" t="n"/>
      <c r="I338" s="5" t="n"/>
      <c r="J338" s="6" t="n"/>
      <c r="K338" s="6" t="n"/>
      <c r="L338" s="14" t="n"/>
      <c r="M338" s="14" t="n"/>
      <c r="N338" s="6" t="n"/>
      <c r="O338" s="14" t="n"/>
      <c r="P338" s="4" t="n"/>
      <c r="Q338" s="15">
        <f>IF($E338="","",ROUND(('Settings'!$B$6-$E338)/30.4375,1))</f>
        <v/>
      </c>
      <c r="R338" s="16">
        <f>IF(OR($E338="",N($F338)=0),"",$Q338/$F338)</f>
        <v/>
      </c>
      <c r="S338" s="16">
        <f>IF(N($K338)=0,"",N($J338)/$K338)</f>
        <v/>
      </c>
      <c r="T338" s="17">
        <f>IF(OR($H338="",$G338=""),"",$H338+$G338*7)</f>
        <v/>
      </c>
      <c r="U338" s="9">
        <f>IF(OR($A338="",NOT(OR($P338="Active",$P338="Retention"))),"",IF(AND($I338&lt;&gt;"",$I338&gt;='Settings'!$B$6),"Booked",IF($T338="","",IF('Settings'!$B$6&gt;$T338+'Settings'!$B$7,"Overdue",IF($T338&lt;='Settings'!$B$6+7,"Due this week","On schedule")))))</f>
        <v/>
      </c>
      <c r="V338" s="15">
        <f>IF(OR($L338="",N($N338)=0),"",($L338-N($M338))/$N338)</f>
        <v/>
      </c>
      <c r="W338" s="15">
        <f>IF(OR($L338="",$E338=""),"",MIN($L338,N($M338)+N($V338)*MIN(N($N338),MAX(0,((YEAR('Settings'!$B$6)-YEAR($E338))*12+MONTH('Settings'!$B$6)-MONTH($E338)-IF(DAY('Settings'!$B$6)&lt;DAY($E338),1,0))))))</f>
        <v/>
      </c>
      <c r="X338" s="15">
        <f>IF($L338="","",$L338-N($O338))</f>
        <v/>
      </c>
      <c r="Y338" s="15">
        <f>IF($W338="","",MAX(0,$W338-N($O338)))</f>
        <v/>
      </c>
      <c r="Z338" s="9">
        <f>IF(OR($A338="",$L338=""),"",IF($X338&lt;=0,"Paid in full",IF($Y338&lt;1,"On track",IF($Y338&lt;=$V338,"1 instalment behind","Behind"))))</f>
        <v/>
      </c>
      <c r="AA338" s="18">
        <f>IF($U338="Overdue",COUNTIF($U$3:$U338,"Overdue"),"")</f>
        <v/>
      </c>
    </row>
    <row r="339">
      <c r="A339" s="4" t="n"/>
      <c r="B339" s="4" t="n"/>
      <c r="C339" s="4" t="n"/>
      <c r="D339" s="4" t="n"/>
      <c r="E339" s="5" t="n"/>
      <c r="F339" s="6" t="n"/>
      <c r="G339" s="6" t="n"/>
      <c r="H339" s="5" t="n"/>
      <c r="I339" s="5" t="n"/>
      <c r="J339" s="6" t="n"/>
      <c r="K339" s="6" t="n"/>
      <c r="L339" s="14" t="n"/>
      <c r="M339" s="14" t="n"/>
      <c r="N339" s="6" t="n"/>
      <c r="O339" s="14" t="n"/>
      <c r="P339" s="4" t="n"/>
      <c r="Q339" s="15">
        <f>IF($E339="","",ROUND(('Settings'!$B$6-$E339)/30.4375,1))</f>
        <v/>
      </c>
      <c r="R339" s="16">
        <f>IF(OR($E339="",N($F339)=0),"",$Q339/$F339)</f>
        <v/>
      </c>
      <c r="S339" s="16">
        <f>IF(N($K339)=0,"",N($J339)/$K339)</f>
        <v/>
      </c>
      <c r="T339" s="17">
        <f>IF(OR($H339="",$G339=""),"",$H339+$G339*7)</f>
        <v/>
      </c>
      <c r="U339" s="9">
        <f>IF(OR($A339="",NOT(OR($P339="Active",$P339="Retention"))),"",IF(AND($I339&lt;&gt;"",$I339&gt;='Settings'!$B$6),"Booked",IF($T339="","",IF('Settings'!$B$6&gt;$T339+'Settings'!$B$7,"Overdue",IF($T339&lt;='Settings'!$B$6+7,"Due this week","On schedule")))))</f>
        <v/>
      </c>
      <c r="V339" s="15">
        <f>IF(OR($L339="",N($N339)=0),"",($L339-N($M339))/$N339)</f>
        <v/>
      </c>
      <c r="W339" s="15">
        <f>IF(OR($L339="",$E339=""),"",MIN($L339,N($M339)+N($V339)*MIN(N($N339),MAX(0,((YEAR('Settings'!$B$6)-YEAR($E339))*12+MONTH('Settings'!$B$6)-MONTH($E339)-IF(DAY('Settings'!$B$6)&lt;DAY($E339),1,0))))))</f>
        <v/>
      </c>
      <c r="X339" s="15">
        <f>IF($L339="","",$L339-N($O339))</f>
        <v/>
      </c>
      <c r="Y339" s="15">
        <f>IF($W339="","",MAX(0,$W339-N($O339)))</f>
        <v/>
      </c>
      <c r="Z339" s="9">
        <f>IF(OR($A339="",$L339=""),"",IF($X339&lt;=0,"Paid in full",IF($Y339&lt;1,"On track",IF($Y339&lt;=$V339,"1 instalment behind","Behind"))))</f>
        <v/>
      </c>
      <c r="AA339" s="18">
        <f>IF($U339="Overdue",COUNTIF($U$3:$U339,"Overdue"),"")</f>
        <v/>
      </c>
    </row>
    <row r="340">
      <c r="A340" s="4" t="n"/>
      <c r="B340" s="4" t="n"/>
      <c r="C340" s="4" t="n"/>
      <c r="D340" s="4" t="n"/>
      <c r="E340" s="5" t="n"/>
      <c r="F340" s="6" t="n"/>
      <c r="G340" s="6" t="n"/>
      <c r="H340" s="5" t="n"/>
      <c r="I340" s="5" t="n"/>
      <c r="J340" s="6" t="n"/>
      <c r="K340" s="6" t="n"/>
      <c r="L340" s="14" t="n"/>
      <c r="M340" s="14" t="n"/>
      <c r="N340" s="6" t="n"/>
      <c r="O340" s="14" t="n"/>
      <c r="P340" s="4" t="n"/>
      <c r="Q340" s="15">
        <f>IF($E340="","",ROUND(('Settings'!$B$6-$E340)/30.4375,1))</f>
        <v/>
      </c>
      <c r="R340" s="16">
        <f>IF(OR($E340="",N($F340)=0),"",$Q340/$F340)</f>
        <v/>
      </c>
      <c r="S340" s="16">
        <f>IF(N($K340)=0,"",N($J340)/$K340)</f>
        <v/>
      </c>
      <c r="T340" s="17">
        <f>IF(OR($H340="",$G340=""),"",$H340+$G340*7)</f>
        <v/>
      </c>
      <c r="U340" s="9">
        <f>IF(OR($A340="",NOT(OR($P340="Active",$P340="Retention"))),"",IF(AND($I340&lt;&gt;"",$I340&gt;='Settings'!$B$6),"Booked",IF($T340="","",IF('Settings'!$B$6&gt;$T340+'Settings'!$B$7,"Overdue",IF($T340&lt;='Settings'!$B$6+7,"Due this week","On schedule")))))</f>
        <v/>
      </c>
      <c r="V340" s="15">
        <f>IF(OR($L340="",N($N340)=0),"",($L340-N($M340))/$N340)</f>
        <v/>
      </c>
      <c r="W340" s="15">
        <f>IF(OR($L340="",$E340=""),"",MIN($L340,N($M340)+N($V340)*MIN(N($N340),MAX(0,((YEAR('Settings'!$B$6)-YEAR($E340))*12+MONTH('Settings'!$B$6)-MONTH($E340)-IF(DAY('Settings'!$B$6)&lt;DAY($E340),1,0))))))</f>
        <v/>
      </c>
      <c r="X340" s="15">
        <f>IF($L340="","",$L340-N($O340))</f>
        <v/>
      </c>
      <c r="Y340" s="15">
        <f>IF($W340="","",MAX(0,$W340-N($O340)))</f>
        <v/>
      </c>
      <c r="Z340" s="9">
        <f>IF(OR($A340="",$L340=""),"",IF($X340&lt;=0,"Paid in full",IF($Y340&lt;1,"On track",IF($Y340&lt;=$V340,"1 instalment behind","Behind"))))</f>
        <v/>
      </c>
      <c r="AA340" s="18">
        <f>IF($U340="Overdue",COUNTIF($U$3:$U340,"Overdue"),"")</f>
        <v/>
      </c>
    </row>
    <row r="341">
      <c r="A341" s="4" t="n"/>
      <c r="B341" s="4" t="n"/>
      <c r="C341" s="4" t="n"/>
      <c r="D341" s="4" t="n"/>
      <c r="E341" s="5" t="n"/>
      <c r="F341" s="6" t="n"/>
      <c r="G341" s="6" t="n"/>
      <c r="H341" s="5" t="n"/>
      <c r="I341" s="5" t="n"/>
      <c r="J341" s="6" t="n"/>
      <c r="K341" s="6" t="n"/>
      <c r="L341" s="14" t="n"/>
      <c r="M341" s="14" t="n"/>
      <c r="N341" s="6" t="n"/>
      <c r="O341" s="14" t="n"/>
      <c r="P341" s="4" t="n"/>
      <c r="Q341" s="15">
        <f>IF($E341="","",ROUND(('Settings'!$B$6-$E341)/30.4375,1))</f>
        <v/>
      </c>
      <c r="R341" s="16">
        <f>IF(OR($E341="",N($F341)=0),"",$Q341/$F341)</f>
        <v/>
      </c>
      <c r="S341" s="16">
        <f>IF(N($K341)=0,"",N($J341)/$K341)</f>
        <v/>
      </c>
      <c r="T341" s="17">
        <f>IF(OR($H341="",$G341=""),"",$H341+$G341*7)</f>
        <v/>
      </c>
      <c r="U341" s="9">
        <f>IF(OR($A341="",NOT(OR($P341="Active",$P341="Retention"))),"",IF(AND($I341&lt;&gt;"",$I341&gt;='Settings'!$B$6),"Booked",IF($T341="","",IF('Settings'!$B$6&gt;$T341+'Settings'!$B$7,"Overdue",IF($T341&lt;='Settings'!$B$6+7,"Due this week","On schedule")))))</f>
        <v/>
      </c>
      <c r="V341" s="15">
        <f>IF(OR($L341="",N($N341)=0),"",($L341-N($M341))/$N341)</f>
        <v/>
      </c>
      <c r="W341" s="15">
        <f>IF(OR($L341="",$E341=""),"",MIN($L341,N($M341)+N($V341)*MIN(N($N341),MAX(0,((YEAR('Settings'!$B$6)-YEAR($E341))*12+MONTH('Settings'!$B$6)-MONTH($E341)-IF(DAY('Settings'!$B$6)&lt;DAY($E341),1,0))))))</f>
        <v/>
      </c>
      <c r="X341" s="15">
        <f>IF($L341="","",$L341-N($O341))</f>
        <v/>
      </c>
      <c r="Y341" s="15">
        <f>IF($W341="","",MAX(0,$W341-N($O341)))</f>
        <v/>
      </c>
      <c r="Z341" s="9">
        <f>IF(OR($A341="",$L341=""),"",IF($X341&lt;=0,"Paid in full",IF($Y341&lt;1,"On track",IF($Y341&lt;=$V341,"1 instalment behind","Behind"))))</f>
        <v/>
      </c>
      <c r="AA341" s="18">
        <f>IF($U341="Overdue",COUNTIF($U$3:$U341,"Overdue"),"")</f>
        <v/>
      </c>
    </row>
    <row r="342">
      <c r="A342" s="4" t="n"/>
      <c r="B342" s="4" t="n"/>
      <c r="C342" s="4" t="n"/>
      <c r="D342" s="4" t="n"/>
      <c r="E342" s="5" t="n"/>
      <c r="F342" s="6" t="n"/>
      <c r="G342" s="6" t="n"/>
      <c r="H342" s="5" t="n"/>
      <c r="I342" s="5" t="n"/>
      <c r="J342" s="6" t="n"/>
      <c r="K342" s="6" t="n"/>
      <c r="L342" s="14" t="n"/>
      <c r="M342" s="14" t="n"/>
      <c r="N342" s="6" t="n"/>
      <c r="O342" s="14" t="n"/>
      <c r="P342" s="4" t="n"/>
      <c r="Q342" s="15">
        <f>IF($E342="","",ROUND(('Settings'!$B$6-$E342)/30.4375,1))</f>
        <v/>
      </c>
      <c r="R342" s="16">
        <f>IF(OR($E342="",N($F342)=0),"",$Q342/$F342)</f>
        <v/>
      </c>
      <c r="S342" s="16">
        <f>IF(N($K342)=0,"",N($J342)/$K342)</f>
        <v/>
      </c>
      <c r="T342" s="17">
        <f>IF(OR($H342="",$G342=""),"",$H342+$G342*7)</f>
        <v/>
      </c>
      <c r="U342" s="9">
        <f>IF(OR($A342="",NOT(OR($P342="Active",$P342="Retention"))),"",IF(AND($I342&lt;&gt;"",$I342&gt;='Settings'!$B$6),"Booked",IF($T342="","",IF('Settings'!$B$6&gt;$T342+'Settings'!$B$7,"Overdue",IF($T342&lt;='Settings'!$B$6+7,"Due this week","On schedule")))))</f>
        <v/>
      </c>
      <c r="V342" s="15">
        <f>IF(OR($L342="",N($N342)=0),"",($L342-N($M342))/$N342)</f>
        <v/>
      </c>
      <c r="W342" s="15">
        <f>IF(OR($L342="",$E342=""),"",MIN($L342,N($M342)+N($V342)*MIN(N($N342),MAX(0,((YEAR('Settings'!$B$6)-YEAR($E342))*12+MONTH('Settings'!$B$6)-MONTH($E342)-IF(DAY('Settings'!$B$6)&lt;DAY($E342),1,0))))))</f>
        <v/>
      </c>
      <c r="X342" s="15">
        <f>IF($L342="","",$L342-N($O342))</f>
        <v/>
      </c>
      <c r="Y342" s="15">
        <f>IF($W342="","",MAX(0,$W342-N($O342)))</f>
        <v/>
      </c>
      <c r="Z342" s="9">
        <f>IF(OR($A342="",$L342=""),"",IF($X342&lt;=0,"Paid in full",IF($Y342&lt;1,"On track",IF($Y342&lt;=$V342,"1 instalment behind","Behind"))))</f>
        <v/>
      </c>
      <c r="AA342" s="18">
        <f>IF($U342="Overdue",COUNTIF($U$3:$U342,"Overdue"),"")</f>
        <v/>
      </c>
    </row>
    <row r="343">
      <c r="A343" s="4" t="n"/>
      <c r="B343" s="4" t="n"/>
      <c r="C343" s="4" t="n"/>
      <c r="D343" s="4" t="n"/>
      <c r="E343" s="5" t="n"/>
      <c r="F343" s="6" t="n"/>
      <c r="G343" s="6" t="n"/>
      <c r="H343" s="5" t="n"/>
      <c r="I343" s="5" t="n"/>
      <c r="J343" s="6" t="n"/>
      <c r="K343" s="6" t="n"/>
      <c r="L343" s="14" t="n"/>
      <c r="M343" s="14" t="n"/>
      <c r="N343" s="6" t="n"/>
      <c r="O343" s="14" t="n"/>
      <c r="P343" s="4" t="n"/>
      <c r="Q343" s="15">
        <f>IF($E343="","",ROUND(('Settings'!$B$6-$E343)/30.4375,1))</f>
        <v/>
      </c>
      <c r="R343" s="16">
        <f>IF(OR($E343="",N($F343)=0),"",$Q343/$F343)</f>
        <v/>
      </c>
      <c r="S343" s="16">
        <f>IF(N($K343)=0,"",N($J343)/$K343)</f>
        <v/>
      </c>
      <c r="T343" s="17">
        <f>IF(OR($H343="",$G343=""),"",$H343+$G343*7)</f>
        <v/>
      </c>
      <c r="U343" s="9">
        <f>IF(OR($A343="",NOT(OR($P343="Active",$P343="Retention"))),"",IF(AND($I343&lt;&gt;"",$I343&gt;='Settings'!$B$6),"Booked",IF($T343="","",IF('Settings'!$B$6&gt;$T343+'Settings'!$B$7,"Overdue",IF($T343&lt;='Settings'!$B$6+7,"Due this week","On schedule")))))</f>
        <v/>
      </c>
      <c r="V343" s="15">
        <f>IF(OR($L343="",N($N343)=0),"",($L343-N($M343))/$N343)</f>
        <v/>
      </c>
      <c r="W343" s="15">
        <f>IF(OR($L343="",$E343=""),"",MIN($L343,N($M343)+N($V343)*MIN(N($N343),MAX(0,((YEAR('Settings'!$B$6)-YEAR($E343))*12+MONTH('Settings'!$B$6)-MONTH($E343)-IF(DAY('Settings'!$B$6)&lt;DAY($E343),1,0))))))</f>
        <v/>
      </c>
      <c r="X343" s="15">
        <f>IF($L343="","",$L343-N($O343))</f>
        <v/>
      </c>
      <c r="Y343" s="15">
        <f>IF($W343="","",MAX(0,$W343-N($O343)))</f>
        <v/>
      </c>
      <c r="Z343" s="9">
        <f>IF(OR($A343="",$L343=""),"",IF($X343&lt;=0,"Paid in full",IF($Y343&lt;1,"On track",IF($Y343&lt;=$V343,"1 instalment behind","Behind"))))</f>
        <v/>
      </c>
      <c r="AA343" s="18">
        <f>IF($U343="Overdue",COUNTIF($U$3:$U343,"Overdue"),"")</f>
        <v/>
      </c>
    </row>
    <row r="344">
      <c r="A344" s="4" t="n"/>
      <c r="B344" s="4" t="n"/>
      <c r="C344" s="4" t="n"/>
      <c r="D344" s="4" t="n"/>
      <c r="E344" s="5" t="n"/>
      <c r="F344" s="6" t="n"/>
      <c r="G344" s="6" t="n"/>
      <c r="H344" s="5" t="n"/>
      <c r="I344" s="5" t="n"/>
      <c r="J344" s="6" t="n"/>
      <c r="K344" s="6" t="n"/>
      <c r="L344" s="14" t="n"/>
      <c r="M344" s="14" t="n"/>
      <c r="N344" s="6" t="n"/>
      <c r="O344" s="14" t="n"/>
      <c r="P344" s="4" t="n"/>
      <c r="Q344" s="15">
        <f>IF($E344="","",ROUND(('Settings'!$B$6-$E344)/30.4375,1))</f>
        <v/>
      </c>
      <c r="R344" s="16">
        <f>IF(OR($E344="",N($F344)=0),"",$Q344/$F344)</f>
        <v/>
      </c>
      <c r="S344" s="16">
        <f>IF(N($K344)=0,"",N($J344)/$K344)</f>
        <v/>
      </c>
      <c r="T344" s="17">
        <f>IF(OR($H344="",$G344=""),"",$H344+$G344*7)</f>
        <v/>
      </c>
      <c r="U344" s="9">
        <f>IF(OR($A344="",NOT(OR($P344="Active",$P344="Retention"))),"",IF(AND($I344&lt;&gt;"",$I344&gt;='Settings'!$B$6),"Booked",IF($T344="","",IF('Settings'!$B$6&gt;$T344+'Settings'!$B$7,"Overdue",IF($T344&lt;='Settings'!$B$6+7,"Due this week","On schedule")))))</f>
        <v/>
      </c>
      <c r="V344" s="15">
        <f>IF(OR($L344="",N($N344)=0),"",($L344-N($M344))/$N344)</f>
        <v/>
      </c>
      <c r="W344" s="15">
        <f>IF(OR($L344="",$E344=""),"",MIN($L344,N($M344)+N($V344)*MIN(N($N344),MAX(0,((YEAR('Settings'!$B$6)-YEAR($E344))*12+MONTH('Settings'!$B$6)-MONTH($E344)-IF(DAY('Settings'!$B$6)&lt;DAY($E344),1,0))))))</f>
        <v/>
      </c>
      <c r="X344" s="15">
        <f>IF($L344="","",$L344-N($O344))</f>
        <v/>
      </c>
      <c r="Y344" s="15">
        <f>IF($W344="","",MAX(0,$W344-N($O344)))</f>
        <v/>
      </c>
      <c r="Z344" s="9">
        <f>IF(OR($A344="",$L344=""),"",IF($X344&lt;=0,"Paid in full",IF($Y344&lt;1,"On track",IF($Y344&lt;=$V344,"1 instalment behind","Behind"))))</f>
        <v/>
      </c>
      <c r="AA344" s="18">
        <f>IF($U344="Overdue",COUNTIF($U$3:$U344,"Overdue"),"")</f>
        <v/>
      </c>
    </row>
    <row r="345">
      <c r="A345" s="4" t="n"/>
      <c r="B345" s="4" t="n"/>
      <c r="C345" s="4" t="n"/>
      <c r="D345" s="4" t="n"/>
      <c r="E345" s="5" t="n"/>
      <c r="F345" s="6" t="n"/>
      <c r="G345" s="6" t="n"/>
      <c r="H345" s="5" t="n"/>
      <c r="I345" s="5" t="n"/>
      <c r="J345" s="6" t="n"/>
      <c r="K345" s="6" t="n"/>
      <c r="L345" s="14" t="n"/>
      <c r="M345" s="14" t="n"/>
      <c r="N345" s="6" t="n"/>
      <c r="O345" s="14" t="n"/>
      <c r="P345" s="4" t="n"/>
      <c r="Q345" s="15">
        <f>IF($E345="","",ROUND(('Settings'!$B$6-$E345)/30.4375,1))</f>
        <v/>
      </c>
      <c r="R345" s="16">
        <f>IF(OR($E345="",N($F345)=0),"",$Q345/$F345)</f>
        <v/>
      </c>
      <c r="S345" s="16">
        <f>IF(N($K345)=0,"",N($J345)/$K345)</f>
        <v/>
      </c>
      <c r="T345" s="17">
        <f>IF(OR($H345="",$G345=""),"",$H345+$G345*7)</f>
        <v/>
      </c>
      <c r="U345" s="9">
        <f>IF(OR($A345="",NOT(OR($P345="Active",$P345="Retention"))),"",IF(AND($I345&lt;&gt;"",$I345&gt;='Settings'!$B$6),"Booked",IF($T345="","",IF('Settings'!$B$6&gt;$T345+'Settings'!$B$7,"Overdue",IF($T345&lt;='Settings'!$B$6+7,"Due this week","On schedule")))))</f>
        <v/>
      </c>
      <c r="V345" s="15">
        <f>IF(OR($L345="",N($N345)=0),"",($L345-N($M345))/$N345)</f>
        <v/>
      </c>
      <c r="W345" s="15">
        <f>IF(OR($L345="",$E345=""),"",MIN($L345,N($M345)+N($V345)*MIN(N($N345),MAX(0,((YEAR('Settings'!$B$6)-YEAR($E345))*12+MONTH('Settings'!$B$6)-MONTH($E345)-IF(DAY('Settings'!$B$6)&lt;DAY($E345),1,0))))))</f>
        <v/>
      </c>
      <c r="X345" s="15">
        <f>IF($L345="","",$L345-N($O345))</f>
        <v/>
      </c>
      <c r="Y345" s="15">
        <f>IF($W345="","",MAX(0,$W345-N($O345)))</f>
        <v/>
      </c>
      <c r="Z345" s="9">
        <f>IF(OR($A345="",$L345=""),"",IF($X345&lt;=0,"Paid in full",IF($Y345&lt;1,"On track",IF($Y345&lt;=$V345,"1 instalment behind","Behind"))))</f>
        <v/>
      </c>
      <c r="AA345" s="18">
        <f>IF($U345="Overdue",COUNTIF($U$3:$U345,"Overdue"),"")</f>
        <v/>
      </c>
    </row>
    <row r="346">
      <c r="A346" s="4" t="n"/>
      <c r="B346" s="4" t="n"/>
      <c r="C346" s="4" t="n"/>
      <c r="D346" s="4" t="n"/>
      <c r="E346" s="5" t="n"/>
      <c r="F346" s="6" t="n"/>
      <c r="G346" s="6" t="n"/>
      <c r="H346" s="5" t="n"/>
      <c r="I346" s="5" t="n"/>
      <c r="J346" s="6" t="n"/>
      <c r="K346" s="6" t="n"/>
      <c r="L346" s="14" t="n"/>
      <c r="M346" s="14" t="n"/>
      <c r="N346" s="6" t="n"/>
      <c r="O346" s="14" t="n"/>
      <c r="P346" s="4" t="n"/>
      <c r="Q346" s="15">
        <f>IF($E346="","",ROUND(('Settings'!$B$6-$E346)/30.4375,1))</f>
        <v/>
      </c>
      <c r="R346" s="16">
        <f>IF(OR($E346="",N($F346)=0),"",$Q346/$F346)</f>
        <v/>
      </c>
      <c r="S346" s="16">
        <f>IF(N($K346)=0,"",N($J346)/$K346)</f>
        <v/>
      </c>
      <c r="T346" s="17">
        <f>IF(OR($H346="",$G346=""),"",$H346+$G346*7)</f>
        <v/>
      </c>
      <c r="U346" s="9">
        <f>IF(OR($A346="",NOT(OR($P346="Active",$P346="Retention"))),"",IF(AND($I346&lt;&gt;"",$I346&gt;='Settings'!$B$6),"Booked",IF($T346="","",IF('Settings'!$B$6&gt;$T346+'Settings'!$B$7,"Overdue",IF($T346&lt;='Settings'!$B$6+7,"Due this week","On schedule")))))</f>
        <v/>
      </c>
      <c r="V346" s="15">
        <f>IF(OR($L346="",N($N346)=0),"",($L346-N($M346))/$N346)</f>
        <v/>
      </c>
      <c r="W346" s="15">
        <f>IF(OR($L346="",$E346=""),"",MIN($L346,N($M346)+N($V346)*MIN(N($N346),MAX(0,((YEAR('Settings'!$B$6)-YEAR($E346))*12+MONTH('Settings'!$B$6)-MONTH($E346)-IF(DAY('Settings'!$B$6)&lt;DAY($E346),1,0))))))</f>
        <v/>
      </c>
      <c r="X346" s="15">
        <f>IF($L346="","",$L346-N($O346))</f>
        <v/>
      </c>
      <c r="Y346" s="15">
        <f>IF($W346="","",MAX(0,$W346-N($O346)))</f>
        <v/>
      </c>
      <c r="Z346" s="9">
        <f>IF(OR($A346="",$L346=""),"",IF($X346&lt;=0,"Paid in full",IF($Y346&lt;1,"On track",IF($Y346&lt;=$V346,"1 instalment behind","Behind"))))</f>
        <v/>
      </c>
      <c r="AA346" s="18">
        <f>IF($U346="Overdue",COUNTIF($U$3:$U346,"Overdue"),"")</f>
        <v/>
      </c>
    </row>
    <row r="347">
      <c r="A347" s="4" t="n"/>
      <c r="B347" s="4" t="n"/>
      <c r="C347" s="4" t="n"/>
      <c r="D347" s="4" t="n"/>
      <c r="E347" s="5" t="n"/>
      <c r="F347" s="6" t="n"/>
      <c r="G347" s="6" t="n"/>
      <c r="H347" s="5" t="n"/>
      <c r="I347" s="5" t="n"/>
      <c r="J347" s="6" t="n"/>
      <c r="K347" s="6" t="n"/>
      <c r="L347" s="14" t="n"/>
      <c r="M347" s="14" t="n"/>
      <c r="N347" s="6" t="n"/>
      <c r="O347" s="14" t="n"/>
      <c r="P347" s="4" t="n"/>
      <c r="Q347" s="15">
        <f>IF($E347="","",ROUND(('Settings'!$B$6-$E347)/30.4375,1))</f>
        <v/>
      </c>
      <c r="R347" s="16">
        <f>IF(OR($E347="",N($F347)=0),"",$Q347/$F347)</f>
        <v/>
      </c>
      <c r="S347" s="16">
        <f>IF(N($K347)=0,"",N($J347)/$K347)</f>
        <v/>
      </c>
      <c r="T347" s="17">
        <f>IF(OR($H347="",$G347=""),"",$H347+$G347*7)</f>
        <v/>
      </c>
      <c r="U347" s="9">
        <f>IF(OR($A347="",NOT(OR($P347="Active",$P347="Retention"))),"",IF(AND($I347&lt;&gt;"",$I347&gt;='Settings'!$B$6),"Booked",IF($T347="","",IF('Settings'!$B$6&gt;$T347+'Settings'!$B$7,"Overdue",IF($T347&lt;='Settings'!$B$6+7,"Due this week","On schedule")))))</f>
        <v/>
      </c>
      <c r="V347" s="15">
        <f>IF(OR($L347="",N($N347)=0),"",($L347-N($M347))/$N347)</f>
        <v/>
      </c>
      <c r="W347" s="15">
        <f>IF(OR($L347="",$E347=""),"",MIN($L347,N($M347)+N($V347)*MIN(N($N347),MAX(0,((YEAR('Settings'!$B$6)-YEAR($E347))*12+MONTH('Settings'!$B$6)-MONTH($E347)-IF(DAY('Settings'!$B$6)&lt;DAY($E347),1,0))))))</f>
        <v/>
      </c>
      <c r="X347" s="15">
        <f>IF($L347="","",$L347-N($O347))</f>
        <v/>
      </c>
      <c r="Y347" s="15">
        <f>IF($W347="","",MAX(0,$W347-N($O347)))</f>
        <v/>
      </c>
      <c r="Z347" s="9">
        <f>IF(OR($A347="",$L347=""),"",IF($X347&lt;=0,"Paid in full",IF($Y347&lt;1,"On track",IF($Y347&lt;=$V347,"1 instalment behind","Behind"))))</f>
        <v/>
      </c>
      <c r="AA347" s="18">
        <f>IF($U347="Overdue",COUNTIF($U$3:$U347,"Overdue"),"")</f>
        <v/>
      </c>
    </row>
    <row r="348">
      <c r="A348" s="4" t="n"/>
      <c r="B348" s="4" t="n"/>
      <c r="C348" s="4" t="n"/>
      <c r="D348" s="4" t="n"/>
      <c r="E348" s="5" t="n"/>
      <c r="F348" s="6" t="n"/>
      <c r="G348" s="6" t="n"/>
      <c r="H348" s="5" t="n"/>
      <c r="I348" s="5" t="n"/>
      <c r="J348" s="6" t="n"/>
      <c r="K348" s="6" t="n"/>
      <c r="L348" s="14" t="n"/>
      <c r="M348" s="14" t="n"/>
      <c r="N348" s="6" t="n"/>
      <c r="O348" s="14" t="n"/>
      <c r="P348" s="4" t="n"/>
      <c r="Q348" s="15">
        <f>IF($E348="","",ROUND(('Settings'!$B$6-$E348)/30.4375,1))</f>
        <v/>
      </c>
      <c r="R348" s="16">
        <f>IF(OR($E348="",N($F348)=0),"",$Q348/$F348)</f>
        <v/>
      </c>
      <c r="S348" s="16">
        <f>IF(N($K348)=0,"",N($J348)/$K348)</f>
        <v/>
      </c>
      <c r="T348" s="17">
        <f>IF(OR($H348="",$G348=""),"",$H348+$G348*7)</f>
        <v/>
      </c>
      <c r="U348" s="9">
        <f>IF(OR($A348="",NOT(OR($P348="Active",$P348="Retention"))),"",IF(AND($I348&lt;&gt;"",$I348&gt;='Settings'!$B$6),"Booked",IF($T348="","",IF('Settings'!$B$6&gt;$T348+'Settings'!$B$7,"Overdue",IF($T348&lt;='Settings'!$B$6+7,"Due this week","On schedule")))))</f>
        <v/>
      </c>
      <c r="V348" s="15">
        <f>IF(OR($L348="",N($N348)=0),"",($L348-N($M348))/$N348)</f>
        <v/>
      </c>
      <c r="W348" s="15">
        <f>IF(OR($L348="",$E348=""),"",MIN($L348,N($M348)+N($V348)*MIN(N($N348),MAX(0,((YEAR('Settings'!$B$6)-YEAR($E348))*12+MONTH('Settings'!$B$6)-MONTH($E348)-IF(DAY('Settings'!$B$6)&lt;DAY($E348),1,0))))))</f>
        <v/>
      </c>
      <c r="X348" s="15">
        <f>IF($L348="","",$L348-N($O348))</f>
        <v/>
      </c>
      <c r="Y348" s="15">
        <f>IF($W348="","",MAX(0,$W348-N($O348)))</f>
        <v/>
      </c>
      <c r="Z348" s="9">
        <f>IF(OR($A348="",$L348=""),"",IF($X348&lt;=0,"Paid in full",IF($Y348&lt;1,"On track",IF($Y348&lt;=$V348,"1 instalment behind","Behind"))))</f>
        <v/>
      </c>
      <c r="AA348" s="18">
        <f>IF($U348="Overdue",COUNTIF($U$3:$U348,"Overdue"),"")</f>
        <v/>
      </c>
    </row>
    <row r="349">
      <c r="A349" s="4" t="n"/>
      <c r="B349" s="4" t="n"/>
      <c r="C349" s="4" t="n"/>
      <c r="D349" s="4" t="n"/>
      <c r="E349" s="5" t="n"/>
      <c r="F349" s="6" t="n"/>
      <c r="G349" s="6" t="n"/>
      <c r="H349" s="5" t="n"/>
      <c r="I349" s="5" t="n"/>
      <c r="J349" s="6" t="n"/>
      <c r="K349" s="6" t="n"/>
      <c r="L349" s="14" t="n"/>
      <c r="M349" s="14" t="n"/>
      <c r="N349" s="6" t="n"/>
      <c r="O349" s="14" t="n"/>
      <c r="P349" s="4" t="n"/>
      <c r="Q349" s="15">
        <f>IF($E349="","",ROUND(('Settings'!$B$6-$E349)/30.4375,1))</f>
        <v/>
      </c>
      <c r="R349" s="16">
        <f>IF(OR($E349="",N($F349)=0),"",$Q349/$F349)</f>
        <v/>
      </c>
      <c r="S349" s="16">
        <f>IF(N($K349)=0,"",N($J349)/$K349)</f>
        <v/>
      </c>
      <c r="T349" s="17">
        <f>IF(OR($H349="",$G349=""),"",$H349+$G349*7)</f>
        <v/>
      </c>
      <c r="U349" s="9">
        <f>IF(OR($A349="",NOT(OR($P349="Active",$P349="Retention"))),"",IF(AND($I349&lt;&gt;"",$I349&gt;='Settings'!$B$6),"Booked",IF($T349="","",IF('Settings'!$B$6&gt;$T349+'Settings'!$B$7,"Overdue",IF($T349&lt;='Settings'!$B$6+7,"Due this week","On schedule")))))</f>
        <v/>
      </c>
      <c r="V349" s="15">
        <f>IF(OR($L349="",N($N349)=0),"",($L349-N($M349))/$N349)</f>
        <v/>
      </c>
      <c r="W349" s="15">
        <f>IF(OR($L349="",$E349=""),"",MIN($L349,N($M349)+N($V349)*MIN(N($N349),MAX(0,((YEAR('Settings'!$B$6)-YEAR($E349))*12+MONTH('Settings'!$B$6)-MONTH($E349)-IF(DAY('Settings'!$B$6)&lt;DAY($E349),1,0))))))</f>
        <v/>
      </c>
      <c r="X349" s="15">
        <f>IF($L349="","",$L349-N($O349))</f>
        <v/>
      </c>
      <c r="Y349" s="15">
        <f>IF($W349="","",MAX(0,$W349-N($O349)))</f>
        <v/>
      </c>
      <c r="Z349" s="9">
        <f>IF(OR($A349="",$L349=""),"",IF($X349&lt;=0,"Paid in full",IF($Y349&lt;1,"On track",IF($Y349&lt;=$V349,"1 instalment behind","Behind"))))</f>
        <v/>
      </c>
      <c r="AA349" s="18">
        <f>IF($U349="Overdue",COUNTIF($U$3:$U349,"Overdue"),"")</f>
        <v/>
      </c>
    </row>
    <row r="350">
      <c r="A350" s="4" t="n"/>
      <c r="B350" s="4" t="n"/>
      <c r="C350" s="4" t="n"/>
      <c r="D350" s="4" t="n"/>
      <c r="E350" s="5" t="n"/>
      <c r="F350" s="6" t="n"/>
      <c r="G350" s="6" t="n"/>
      <c r="H350" s="5" t="n"/>
      <c r="I350" s="5" t="n"/>
      <c r="J350" s="6" t="n"/>
      <c r="K350" s="6" t="n"/>
      <c r="L350" s="14" t="n"/>
      <c r="M350" s="14" t="n"/>
      <c r="N350" s="6" t="n"/>
      <c r="O350" s="14" t="n"/>
      <c r="P350" s="4" t="n"/>
      <c r="Q350" s="15">
        <f>IF($E350="","",ROUND(('Settings'!$B$6-$E350)/30.4375,1))</f>
        <v/>
      </c>
      <c r="R350" s="16">
        <f>IF(OR($E350="",N($F350)=0),"",$Q350/$F350)</f>
        <v/>
      </c>
      <c r="S350" s="16">
        <f>IF(N($K350)=0,"",N($J350)/$K350)</f>
        <v/>
      </c>
      <c r="T350" s="17">
        <f>IF(OR($H350="",$G350=""),"",$H350+$G350*7)</f>
        <v/>
      </c>
      <c r="U350" s="9">
        <f>IF(OR($A350="",NOT(OR($P350="Active",$P350="Retention"))),"",IF(AND($I350&lt;&gt;"",$I350&gt;='Settings'!$B$6),"Booked",IF($T350="","",IF('Settings'!$B$6&gt;$T350+'Settings'!$B$7,"Overdue",IF($T350&lt;='Settings'!$B$6+7,"Due this week","On schedule")))))</f>
        <v/>
      </c>
      <c r="V350" s="15">
        <f>IF(OR($L350="",N($N350)=0),"",($L350-N($M350))/$N350)</f>
        <v/>
      </c>
      <c r="W350" s="15">
        <f>IF(OR($L350="",$E350=""),"",MIN($L350,N($M350)+N($V350)*MIN(N($N350),MAX(0,((YEAR('Settings'!$B$6)-YEAR($E350))*12+MONTH('Settings'!$B$6)-MONTH($E350)-IF(DAY('Settings'!$B$6)&lt;DAY($E350),1,0))))))</f>
        <v/>
      </c>
      <c r="X350" s="15">
        <f>IF($L350="","",$L350-N($O350))</f>
        <v/>
      </c>
      <c r="Y350" s="15">
        <f>IF($W350="","",MAX(0,$W350-N($O350)))</f>
        <v/>
      </c>
      <c r="Z350" s="9">
        <f>IF(OR($A350="",$L350=""),"",IF($X350&lt;=0,"Paid in full",IF($Y350&lt;1,"On track",IF($Y350&lt;=$V350,"1 instalment behind","Behind"))))</f>
        <v/>
      </c>
      <c r="AA350" s="18">
        <f>IF($U350="Overdue",COUNTIF($U$3:$U350,"Overdue"),"")</f>
        <v/>
      </c>
    </row>
    <row r="351">
      <c r="A351" s="4" t="n"/>
      <c r="B351" s="4" t="n"/>
      <c r="C351" s="4" t="n"/>
      <c r="D351" s="4" t="n"/>
      <c r="E351" s="5" t="n"/>
      <c r="F351" s="6" t="n"/>
      <c r="G351" s="6" t="n"/>
      <c r="H351" s="5" t="n"/>
      <c r="I351" s="5" t="n"/>
      <c r="J351" s="6" t="n"/>
      <c r="K351" s="6" t="n"/>
      <c r="L351" s="14" t="n"/>
      <c r="M351" s="14" t="n"/>
      <c r="N351" s="6" t="n"/>
      <c r="O351" s="14" t="n"/>
      <c r="P351" s="4" t="n"/>
      <c r="Q351" s="15">
        <f>IF($E351="","",ROUND(('Settings'!$B$6-$E351)/30.4375,1))</f>
        <v/>
      </c>
      <c r="R351" s="16">
        <f>IF(OR($E351="",N($F351)=0),"",$Q351/$F351)</f>
        <v/>
      </c>
      <c r="S351" s="16">
        <f>IF(N($K351)=0,"",N($J351)/$K351)</f>
        <v/>
      </c>
      <c r="T351" s="17">
        <f>IF(OR($H351="",$G351=""),"",$H351+$G351*7)</f>
        <v/>
      </c>
      <c r="U351" s="9">
        <f>IF(OR($A351="",NOT(OR($P351="Active",$P351="Retention"))),"",IF(AND($I351&lt;&gt;"",$I351&gt;='Settings'!$B$6),"Booked",IF($T351="","",IF('Settings'!$B$6&gt;$T351+'Settings'!$B$7,"Overdue",IF($T351&lt;='Settings'!$B$6+7,"Due this week","On schedule")))))</f>
        <v/>
      </c>
      <c r="V351" s="15">
        <f>IF(OR($L351="",N($N351)=0),"",($L351-N($M351))/$N351)</f>
        <v/>
      </c>
      <c r="W351" s="15">
        <f>IF(OR($L351="",$E351=""),"",MIN($L351,N($M351)+N($V351)*MIN(N($N351),MAX(0,((YEAR('Settings'!$B$6)-YEAR($E351))*12+MONTH('Settings'!$B$6)-MONTH($E351)-IF(DAY('Settings'!$B$6)&lt;DAY($E351),1,0))))))</f>
        <v/>
      </c>
      <c r="X351" s="15">
        <f>IF($L351="","",$L351-N($O351))</f>
        <v/>
      </c>
      <c r="Y351" s="15">
        <f>IF($W351="","",MAX(0,$W351-N($O351)))</f>
        <v/>
      </c>
      <c r="Z351" s="9">
        <f>IF(OR($A351="",$L351=""),"",IF($X351&lt;=0,"Paid in full",IF($Y351&lt;1,"On track",IF($Y351&lt;=$V351,"1 instalment behind","Behind"))))</f>
        <v/>
      </c>
      <c r="AA351" s="18">
        <f>IF($U351="Overdue",COUNTIF($U$3:$U351,"Overdue"),"")</f>
        <v/>
      </c>
    </row>
    <row r="352">
      <c r="A352" s="4" t="n"/>
      <c r="B352" s="4" t="n"/>
      <c r="C352" s="4" t="n"/>
      <c r="D352" s="4" t="n"/>
      <c r="E352" s="5" t="n"/>
      <c r="F352" s="6" t="n"/>
      <c r="G352" s="6" t="n"/>
      <c r="H352" s="5" t="n"/>
      <c r="I352" s="5" t="n"/>
      <c r="J352" s="6" t="n"/>
      <c r="K352" s="6" t="n"/>
      <c r="L352" s="14" t="n"/>
      <c r="M352" s="14" t="n"/>
      <c r="N352" s="6" t="n"/>
      <c r="O352" s="14" t="n"/>
      <c r="P352" s="4" t="n"/>
      <c r="Q352" s="15">
        <f>IF($E352="","",ROUND(('Settings'!$B$6-$E352)/30.4375,1))</f>
        <v/>
      </c>
      <c r="R352" s="16">
        <f>IF(OR($E352="",N($F352)=0),"",$Q352/$F352)</f>
        <v/>
      </c>
      <c r="S352" s="16">
        <f>IF(N($K352)=0,"",N($J352)/$K352)</f>
        <v/>
      </c>
      <c r="T352" s="17">
        <f>IF(OR($H352="",$G352=""),"",$H352+$G352*7)</f>
        <v/>
      </c>
      <c r="U352" s="9">
        <f>IF(OR($A352="",NOT(OR($P352="Active",$P352="Retention"))),"",IF(AND($I352&lt;&gt;"",$I352&gt;='Settings'!$B$6),"Booked",IF($T352="","",IF('Settings'!$B$6&gt;$T352+'Settings'!$B$7,"Overdue",IF($T352&lt;='Settings'!$B$6+7,"Due this week","On schedule")))))</f>
        <v/>
      </c>
      <c r="V352" s="15">
        <f>IF(OR($L352="",N($N352)=0),"",($L352-N($M352))/$N352)</f>
        <v/>
      </c>
      <c r="W352" s="15">
        <f>IF(OR($L352="",$E352=""),"",MIN($L352,N($M352)+N($V352)*MIN(N($N352),MAX(0,((YEAR('Settings'!$B$6)-YEAR($E352))*12+MONTH('Settings'!$B$6)-MONTH($E352)-IF(DAY('Settings'!$B$6)&lt;DAY($E352),1,0))))))</f>
        <v/>
      </c>
      <c r="X352" s="15">
        <f>IF($L352="","",$L352-N($O352))</f>
        <v/>
      </c>
      <c r="Y352" s="15">
        <f>IF($W352="","",MAX(0,$W352-N($O352)))</f>
        <v/>
      </c>
      <c r="Z352" s="9">
        <f>IF(OR($A352="",$L352=""),"",IF($X352&lt;=0,"Paid in full",IF($Y352&lt;1,"On track",IF($Y352&lt;=$V352,"1 instalment behind","Behind"))))</f>
        <v/>
      </c>
      <c r="AA352" s="18">
        <f>IF($U352="Overdue",COUNTIF($U$3:$U352,"Overdue"),"")</f>
        <v/>
      </c>
    </row>
    <row r="353">
      <c r="A353" s="4" t="n"/>
      <c r="B353" s="4" t="n"/>
      <c r="C353" s="4" t="n"/>
      <c r="D353" s="4" t="n"/>
      <c r="E353" s="5" t="n"/>
      <c r="F353" s="6" t="n"/>
      <c r="G353" s="6" t="n"/>
      <c r="H353" s="5" t="n"/>
      <c r="I353" s="5" t="n"/>
      <c r="J353" s="6" t="n"/>
      <c r="K353" s="6" t="n"/>
      <c r="L353" s="14" t="n"/>
      <c r="M353" s="14" t="n"/>
      <c r="N353" s="6" t="n"/>
      <c r="O353" s="14" t="n"/>
      <c r="P353" s="4" t="n"/>
      <c r="Q353" s="15">
        <f>IF($E353="","",ROUND(('Settings'!$B$6-$E353)/30.4375,1))</f>
        <v/>
      </c>
      <c r="R353" s="16">
        <f>IF(OR($E353="",N($F353)=0),"",$Q353/$F353)</f>
        <v/>
      </c>
      <c r="S353" s="16">
        <f>IF(N($K353)=0,"",N($J353)/$K353)</f>
        <v/>
      </c>
      <c r="T353" s="17">
        <f>IF(OR($H353="",$G353=""),"",$H353+$G353*7)</f>
        <v/>
      </c>
      <c r="U353" s="9">
        <f>IF(OR($A353="",NOT(OR($P353="Active",$P353="Retention"))),"",IF(AND($I353&lt;&gt;"",$I353&gt;='Settings'!$B$6),"Booked",IF($T353="","",IF('Settings'!$B$6&gt;$T353+'Settings'!$B$7,"Overdue",IF($T353&lt;='Settings'!$B$6+7,"Due this week","On schedule")))))</f>
        <v/>
      </c>
      <c r="V353" s="15">
        <f>IF(OR($L353="",N($N353)=0),"",($L353-N($M353))/$N353)</f>
        <v/>
      </c>
      <c r="W353" s="15">
        <f>IF(OR($L353="",$E353=""),"",MIN($L353,N($M353)+N($V353)*MIN(N($N353),MAX(0,((YEAR('Settings'!$B$6)-YEAR($E353))*12+MONTH('Settings'!$B$6)-MONTH($E353)-IF(DAY('Settings'!$B$6)&lt;DAY($E353),1,0))))))</f>
        <v/>
      </c>
      <c r="X353" s="15">
        <f>IF($L353="","",$L353-N($O353))</f>
        <v/>
      </c>
      <c r="Y353" s="15">
        <f>IF($W353="","",MAX(0,$W353-N($O353)))</f>
        <v/>
      </c>
      <c r="Z353" s="9">
        <f>IF(OR($A353="",$L353=""),"",IF($X353&lt;=0,"Paid in full",IF($Y353&lt;1,"On track",IF($Y353&lt;=$V353,"1 instalment behind","Behind"))))</f>
        <v/>
      </c>
      <c r="AA353" s="18">
        <f>IF($U353="Overdue",COUNTIF($U$3:$U353,"Overdue"),"")</f>
        <v/>
      </c>
    </row>
    <row r="354">
      <c r="A354" s="4" t="n"/>
      <c r="B354" s="4" t="n"/>
      <c r="C354" s="4" t="n"/>
      <c r="D354" s="4" t="n"/>
      <c r="E354" s="5" t="n"/>
      <c r="F354" s="6" t="n"/>
      <c r="G354" s="6" t="n"/>
      <c r="H354" s="5" t="n"/>
      <c r="I354" s="5" t="n"/>
      <c r="J354" s="6" t="n"/>
      <c r="K354" s="6" t="n"/>
      <c r="L354" s="14" t="n"/>
      <c r="M354" s="14" t="n"/>
      <c r="N354" s="6" t="n"/>
      <c r="O354" s="14" t="n"/>
      <c r="P354" s="4" t="n"/>
      <c r="Q354" s="15">
        <f>IF($E354="","",ROUND(('Settings'!$B$6-$E354)/30.4375,1))</f>
        <v/>
      </c>
      <c r="R354" s="16">
        <f>IF(OR($E354="",N($F354)=0),"",$Q354/$F354)</f>
        <v/>
      </c>
      <c r="S354" s="16">
        <f>IF(N($K354)=0,"",N($J354)/$K354)</f>
        <v/>
      </c>
      <c r="T354" s="17">
        <f>IF(OR($H354="",$G354=""),"",$H354+$G354*7)</f>
        <v/>
      </c>
      <c r="U354" s="9">
        <f>IF(OR($A354="",NOT(OR($P354="Active",$P354="Retention"))),"",IF(AND($I354&lt;&gt;"",$I354&gt;='Settings'!$B$6),"Booked",IF($T354="","",IF('Settings'!$B$6&gt;$T354+'Settings'!$B$7,"Overdue",IF($T354&lt;='Settings'!$B$6+7,"Due this week","On schedule")))))</f>
        <v/>
      </c>
      <c r="V354" s="15">
        <f>IF(OR($L354="",N($N354)=0),"",($L354-N($M354))/$N354)</f>
        <v/>
      </c>
      <c r="W354" s="15">
        <f>IF(OR($L354="",$E354=""),"",MIN($L354,N($M354)+N($V354)*MIN(N($N354),MAX(0,((YEAR('Settings'!$B$6)-YEAR($E354))*12+MONTH('Settings'!$B$6)-MONTH($E354)-IF(DAY('Settings'!$B$6)&lt;DAY($E354),1,0))))))</f>
        <v/>
      </c>
      <c r="X354" s="15">
        <f>IF($L354="","",$L354-N($O354))</f>
        <v/>
      </c>
      <c r="Y354" s="15">
        <f>IF($W354="","",MAX(0,$W354-N($O354)))</f>
        <v/>
      </c>
      <c r="Z354" s="9">
        <f>IF(OR($A354="",$L354=""),"",IF($X354&lt;=0,"Paid in full",IF($Y354&lt;1,"On track",IF($Y354&lt;=$V354,"1 instalment behind","Behind"))))</f>
        <v/>
      </c>
      <c r="AA354" s="18">
        <f>IF($U354="Overdue",COUNTIF($U$3:$U354,"Overdue"),"")</f>
        <v/>
      </c>
    </row>
    <row r="355">
      <c r="A355" s="4" t="n"/>
      <c r="B355" s="4" t="n"/>
      <c r="C355" s="4" t="n"/>
      <c r="D355" s="4" t="n"/>
      <c r="E355" s="5" t="n"/>
      <c r="F355" s="6" t="n"/>
      <c r="G355" s="6" t="n"/>
      <c r="H355" s="5" t="n"/>
      <c r="I355" s="5" t="n"/>
      <c r="J355" s="6" t="n"/>
      <c r="K355" s="6" t="n"/>
      <c r="L355" s="14" t="n"/>
      <c r="M355" s="14" t="n"/>
      <c r="N355" s="6" t="n"/>
      <c r="O355" s="14" t="n"/>
      <c r="P355" s="4" t="n"/>
      <c r="Q355" s="15">
        <f>IF($E355="","",ROUND(('Settings'!$B$6-$E355)/30.4375,1))</f>
        <v/>
      </c>
      <c r="R355" s="16">
        <f>IF(OR($E355="",N($F355)=0),"",$Q355/$F355)</f>
        <v/>
      </c>
      <c r="S355" s="16">
        <f>IF(N($K355)=0,"",N($J355)/$K355)</f>
        <v/>
      </c>
      <c r="T355" s="17">
        <f>IF(OR($H355="",$G355=""),"",$H355+$G355*7)</f>
        <v/>
      </c>
      <c r="U355" s="9">
        <f>IF(OR($A355="",NOT(OR($P355="Active",$P355="Retention"))),"",IF(AND($I355&lt;&gt;"",$I355&gt;='Settings'!$B$6),"Booked",IF($T355="","",IF('Settings'!$B$6&gt;$T355+'Settings'!$B$7,"Overdue",IF($T355&lt;='Settings'!$B$6+7,"Due this week","On schedule")))))</f>
        <v/>
      </c>
      <c r="V355" s="15">
        <f>IF(OR($L355="",N($N355)=0),"",($L355-N($M355))/$N355)</f>
        <v/>
      </c>
      <c r="W355" s="15">
        <f>IF(OR($L355="",$E355=""),"",MIN($L355,N($M355)+N($V355)*MIN(N($N355),MAX(0,((YEAR('Settings'!$B$6)-YEAR($E355))*12+MONTH('Settings'!$B$6)-MONTH($E355)-IF(DAY('Settings'!$B$6)&lt;DAY($E355),1,0))))))</f>
        <v/>
      </c>
      <c r="X355" s="15">
        <f>IF($L355="","",$L355-N($O355))</f>
        <v/>
      </c>
      <c r="Y355" s="15">
        <f>IF($W355="","",MAX(0,$W355-N($O355)))</f>
        <v/>
      </c>
      <c r="Z355" s="9">
        <f>IF(OR($A355="",$L355=""),"",IF($X355&lt;=0,"Paid in full",IF($Y355&lt;1,"On track",IF($Y355&lt;=$V355,"1 instalment behind","Behind"))))</f>
        <v/>
      </c>
      <c r="AA355" s="18">
        <f>IF($U355="Overdue",COUNTIF($U$3:$U355,"Overdue"),"")</f>
        <v/>
      </c>
    </row>
    <row r="356">
      <c r="A356" s="4" t="n"/>
      <c r="B356" s="4" t="n"/>
      <c r="C356" s="4" t="n"/>
      <c r="D356" s="4" t="n"/>
      <c r="E356" s="5" t="n"/>
      <c r="F356" s="6" t="n"/>
      <c r="G356" s="6" t="n"/>
      <c r="H356" s="5" t="n"/>
      <c r="I356" s="5" t="n"/>
      <c r="J356" s="6" t="n"/>
      <c r="K356" s="6" t="n"/>
      <c r="L356" s="14" t="n"/>
      <c r="M356" s="14" t="n"/>
      <c r="N356" s="6" t="n"/>
      <c r="O356" s="14" t="n"/>
      <c r="P356" s="4" t="n"/>
      <c r="Q356" s="15">
        <f>IF($E356="","",ROUND(('Settings'!$B$6-$E356)/30.4375,1))</f>
        <v/>
      </c>
      <c r="R356" s="16">
        <f>IF(OR($E356="",N($F356)=0),"",$Q356/$F356)</f>
        <v/>
      </c>
      <c r="S356" s="16">
        <f>IF(N($K356)=0,"",N($J356)/$K356)</f>
        <v/>
      </c>
      <c r="T356" s="17">
        <f>IF(OR($H356="",$G356=""),"",$H356+$G356*7)</f>
        <v/>
      </c>
      <c r="U356" s="9">
        <f>IF(OR($A356="",NOT(OR($P356="Active",$P356="Retention"))),"",IF(AND($I356&lt;&gt;"",$I356&gt;='Settings'!$B$6),"Booked",IF($T356="","",IF('Settings'!$B$6&gt;$T356+'Settings'!$B$7,"Overdue",IF($T356&lt;='Settings'!$B$6+7,"Due this week","On schedule")))))</f>
        <v/>
      </c>
      <c r="V356" s="15">
        <f>IF(OR($L356="",N($N356)=0),"",($L356-N($M356))/$N356)</f>
        <v/>
      </c>
      <c r="W356" s="15">
        <f>IF(OR($L356="",$E356=""),"",MIN($L356,N($M356)+N($V356)*MIN(N($N356),MAX(0,((YEAR('Settings'!$B$6)-YEAR($E356))*12+MONTH('Settings'!$B$6)-MONTH($E356)-IF(DAY('Settings'!$B$6)&lt;DAY($E356),1,0))))))</f>
        <v/>
      </c>
      <c r="X356" s="15">
        <f>IF($L356="","",$L356-N($O356))</f>
        <v/>
      </c>
      <c r="Y356" s="15">
        <f>IF($W356="","",MAX(0,$W356-N($O356)))</f>
        <v/>
      </c>
      <c r="Z356" s="9">
        <f>IF(OR($A356="",$L356=""),"",IF($X356&lt;=0,"Paid in full",IF($Y356&lt;1,"On track",IF($Y356&lt;=$V356,"1 instalment behind","Behind"))))</f>
        <v/>
      </c>
      <c r="AA356" s="18">
        <f>IF($U356="Overdue",COUNTIF($U$3:$U356,"Overdue"),"")</f>
        <v/>
      </c>
    </row>
    <row r="357">
      <c r="A357" s="4" t="n"/>
      <c r="B357" s="4" t="n"/>
      <c r="C357" s="4" t="n"/>
      <c r="D357" s="4" t="n"/>
      <c r="E357" s="5" t="n"/>
      <c r="F357" s="6" t="n"/>
      <c r="G357" s="6" t="n"/>
      <c r="H357" s="5" t="n"/>
      <c r="I357" s="5" t="n"/>
      <c r="J357" s="6" t="n"/>
      <c r="K357" s="6" t="n"/>
      <c r="L357" s="14" t="n"/>
      <c r="M357" s="14" t="n"/>
      <c r="N357" s="6" t="n"/>
      <c r="O357" s="14" t="n"/>
      <c r="P357" s="4" t="n"/>
      <c r="Q357" s="15">
        <f>IF($E357="","",ROUND(('Settings'!$B$6-$E357)/30.4375,1))</f>
        <v/>
      </c>
      <c r="R357" s="16">
        <f>IF(OR($E357="",N($F357)=0),"",$Q357/$F357)</f>
        <v/>
      </c>
      <c r="S357" s="16">
        <f>IF(N($K357)=0,"",N($J357)/$K357)</f>
        <v/>
      </c>
      <c r="T357" s="17">
        <f>IF(OR($H357="",$G357=""),"",$H357+$G357*7)</f>
        <v/>
      </c>
      <c r="U357" s="9">
        <f>IF(OR($A357="",NOT(OR($P357="Active",$P357="Retention"))),"",IF(AND($I357&lt;&gt;"",$I357&gt;='Settings'!$B$6),"Booked",IF($T357="","",IF('Settings'!$B$6&gt;$T357+'Settings'!$B$7,"Overdue",IF($T357&lt;='Settings'!$B$6+7,"Due this week","On schedule")))))</f>
        <v/>
      </c>
      <c r="V357" s="15">
        <f>IF(OR($L357="",N($N357)=0),"",($L357-N($M357))/$N357)</f>
        <v/>
      </c>
      <c r="W357" s="15">
        <f>IF(OR($L357="",$E357=""),"",MIN($L357,N($M357)+N($V357)*MIN(N($N357),MAX(0,((YEAR('Settings'!$B$6)-YEAR($E357))*12+MONTH('Settings'!$B$6)-MONTH($E357)-IF(DAY('Settings'!$B$6)&lt;DAY($E357),1,0))))))</f>
        <v/>
      </c>
      <c r="X357" s="15">
        <f>IF($L357="","",$L357-N($O357))</f>
        <v/>
      </c>
      <c r="Y357" s="15">
        <f>IF($W357="","",MAX(0,$W357-N($O357)))</f>
        <v/>
      </c>
      <c r="Z357" s="9">
        <f>IF(OR($A357="",$L357=""),"",IF($X357&lt;=0,"Paid in full",IF($Y357&lt;1,"On track",IF($Y357&lt;=$V357,"1 instalment behind","Behind"))))</f>
        <v/>
      </c>
      <c r="AA357" s="18">
        <f>IF($U357="Overdue",COUNTIF($U$3:$U357,"Overdue"),"")</f>
        <v/>
      </c>
    </row>
    <row r="358">
      <c r="A358" s="4" t="n"/>
      <c r="B358" s="4" t="n"/>
      <c r="C358" s="4" t="n"/>
      <c r="D358" s="4" t="n"/>
      <c r="E358" s="5" t="n"/>
      <c r="F358" s="6" t="n"/>
      <c r="G358" s="6" t="n"/>
      <c r="H358" s="5" t="n"/>
      <c r="I358" s="5" t="n"/>
      <c r="J358" s="6" t="n"/>
      <c r="K358" s="6" t="n"/>
      <c r="L358" s="14" t="n"/>
      <c r="M358" s="14" t="n"/>
      <c r="N358" s="6" t="n"/>
      <c r="O358" s="14" t="n"/>
      <c r="P358" s="4" t="n"/>
      <c r="Q358" s="15">
        <f>IF($E358="","",ROUND(('Settings'!$B$6-$E358)/30.4375,1))</f>
        <v/>
      </c>
      <c r="R358" s="16">
        <f>IF(OR($E358="",N($F358)=0),"",$Q358/$F358)</f>
        <v/>
      </c>
      <c r="S358" s="16">
        <f>IF(N($K358)=0,"",N($J358)/$K358)</f>
        <v/>
      </c>
      <c r="T358" s="17">
        <f>IF(OR($H358="",$G358=""),"",$H358+$G358*7)</f>
        <v/>
      </c>
      <c r="U358" s="9">
        <f>IF(OR($A358="",NOT(OR($P358="Active",$P358="Retention"))),"",IF(AND($I358&lt;&gt;"",$I358&gt;='Settings'!$B$6),"Booked",IF($T358="","",IF('Settings'!$B$6&gt;$T358+'Settings'!$B$7,"Overdue",IF($T358&lt;='Settings'!$B$6+7,"Due this week","On schedule")))))</f>
        <v/>
      </c>
      <c r="V358" s="15">
        <f>IF(OR($L358="",N($N358)=0),"",($L358-N($M358))/$N358)</f>
        <v/>
      </c>
      <c r="W358" s="15">
        <f>IF(OR($L358="",$E358=""),"",MIN($L358,N($M358)+N($V358)*MIN(N($N358),MAX(0,((YEAR('Settings'!$B$6)-YEAR($E358))*12+MONTH('Settings'!$B$6)-MONTH($E358)-IF(DAY('Settings'!$B$6)&lt;DAY($E358),1,0))))))</f>
        <v/>
      </c>
      <c r="X358" s="15">
        <f>IF($L358="","",$L358-N($O358))</f>
        <v/>
      </c>
      <c r="Y358" s="15">
        <f>IF($W358="","",MAX(0,$W358-N($O358)))</f>
        <v/>
      </c>
      <c r="Z358" s="9">
        <f>IF(OR($A358="",$L358=""),"",IF($X358&lt;=0,"Paid in full",IF($Y358&lt;1,"On track",IF($Y358&lt;=$V358,"1 instalment behind","Behind"))))</f>
        <v/>
      </c>
      <c r="AA358" s="18">
        <f>IF($U358="Overdue",COUNTIF($U$3:$U358,"Overdue"),"")</f>
        <v/>
      </c>
    </row>
    <row r="359">
      <c r="A359" s="4" t="n"/>
      <c r="B359" s="4" t="n"/>
      <c r="C359" s="4" t="n"/>
      <c r="D359" s="4" t="n"/>
      <c r="E359" s="5" t="n"/>
      <c r="F359" s="6" t="n"/>
      <c r="G359" s="6" t="n"/>
      <c r="H359" s="5" t="n"/>
      <c r="I359" s="5" t="n"/>
      <c r="J359" s="6" t="n"/>
      <c r="K359" s="6" t="n"/>
      <c r="L359" s="14" t="n"/>
      <c r="M359" s="14" t="n"/>
      <c r="N359" s="6" t="n"/>
      <c r="O359" s="14" t="n"/>
      <c r="P359" s="4" t="n"/>
      <c r="Q359" s="15">
        <f>IF($E359="","",ROUND(('Settings'!$B$6-$E359)/30.4375,1))</f>
        <v/>
      </c>
      <c r="R359" s="16">
        <f>IF(OR($E359="",N($F359)=0),"",$Q359/$F359)</f>
        <v/>
      </c>
      <c r="S359" s="16">
        <f>IF(N($K359)=0,"",N($J359)/$K359)</f>
        <v/>
      </c>
      <c r="T359" s="17">
        <f>IF(OR($H359="",$G359=""),"",$H359+$G359*7)</f>
        <v/>
      </c>
      <c r="U359" s="9">
        <f>IF(OR($A359="",NOT(OR($P359="Active",$P359="Retention"))),"",IF(AND($I359&lt;&gt;"",$I359&gt;='Settings'!$B$6),"Booked",IF($T359="","",IF('Settings'!$B$6&gt;$T359+'Settings'!$B$7,"Overdue",IF($T359&lt;='Settings'!$B$6+7,"Due this week","On schedule")))))</f>
        <v/>
      </c>
      <c r="V359" s="15">
        <f>IF(OR($L359="",N($N359)=0),"",($L359-N($M359))/$N359)</f>
        <v/>
      </c>
      <c r="W359" s="15">
        <f>IF(OR($L359="",$E359=""),"",MIN($L359,N($M359)+N($V359)*MIN(N($N359),MAX(0,((YEAR('Settings'!$B$6)-YEAR($E359))*12+MONTH('Settings'!$B$6)-MONTH($E359)-IF(DAY('Settings'!$B$6)&lt;DAY($E359),1,0))))))</f>
        <v/>
      </c>
      <c r="X359" s="15">
        <f>IF($L359="","",$L359-N($O359))</f>
        <v/>
      </c>
      <c r="Y359" s="15">
        <f>IF($W359="","",MAX(0,$W359-N($O359)))</f>
        <v/>
      </c>
      <c r="Z359" s="9">
        <f>IF(OR($A359="",$L359=""),"",IF($X359&lt;=0,"Paid in full",IF($Y359&lt;1,"On track",IF($Y359&lt;=$V359,"1 instalment behind","Behind"))))</f>
        <v/>
      </c>
      <c r="AA359" s="18">
        <f>IF($U359="Overdue",COUNTIF($U$3:$U359,"Overdue"),"")</f>
        <v/>
      </c>
    </row>
    <row r="360">
      <c r="A360" s="4" t="n"/>
      <c r="B360" s="4" t="n"/>
      <c r="C360" s="4" t="n"/>
      <c r="D360" s="4" t="n"/>
      <c r="E360" s="5" t="n"/>
      <c r="F360" s="6" t="n"/>
      <c r="G360" s="6" t="n"/>
      <c r="H360" s="5" t="n"/>
      <c r="I360" s="5" t="n"/>
      <c r="J360" s="6" t="n"/>
      <c r="K360" s="6" t="n"/>
      <c r="L360" s="14" t="n"/>
      <c r="M360" s="14" t="n"/>
      <c r="N360" s="6" t="n"/>
      <c r="O360" s="14" t="n"/>
      <c r="P360" s="4" t="n"/>
      <c r="Q360" s="15">
        <f>IF($E360="","",ROUND(('Settings'!$B$6-$E360)/30.4375,1))</f>
        <v/>
      </c>
      <c r="R360" s="16">
        <f>IF(OR($E360="",N($F360)=0),"",$Q360/$F360)</f>
        <v/>
      </c>
      <c r="S360" s="16">
        <f>IF(N($K360)=0,"",N($J360)/$K360)</f>
        <v/>
      </c>
      <c r="T360" s="17">
        <f>IF(OR($H360="",$G360=""),"",$H360+$G360*7)</f>
        <v/>
      </c>
      <c r="U360" s="9">
        <f>IF(OR($A360="",NOT(OR($P360="Active",$P360="Retention"))),"",IF(AND($I360&lt;&gt;"",$I360&gt;='Settings'!$B$6),"Booked",IF($T360="","",IF('Settings'!$B$6&gt;$T360+'Settings'!$B$7,"Overdue",IF($T360&lt;='Settings'!$B$6+7,"Due this week","On schedule")))))</f>
        <v/>
      </c>
      <c r="V360" s="15">
        <f>IF(OR($L360="",N($N360)=0),"",($L360-N($M360))/$N360)</f>
        <v/>
      </c>
      <c r="W360" s="15">
        <f>IF(OR($L360="",$E360=""),"",MIN($L360,N($M360)+N($V360)*MIN(N($N360),MAX(0,((YEAR('Settings'!$B$6)-YEAR($E360))*12+MONTH('Settings'!$B$6)-MONTH($E360)-IF(DAY('Settings'!$B$6)&lt;DAY($E360),1,0))))))</f>
        <v/>
      </c>
      <c r="X360" s="15">
        <f>IF($L360="","",$L360-N($O360))</f>
        <v/>
      </c>
      <c r="Y360" s="15">
        <f>IF($W360="","",MAX(0,$W360-N($O360)))</f>
        <v/>
      </c>
      <c r="Z360" s="9">
        <f>IF(OR($A360="",$L360=""),"",IF($X360&lt;=0,"Paid in full",IF($Y360&lt;1,"On track",IF($Y360&lt;=$V360,"1 instalment behind","Behind"))))</f>
        <v/>
      </c>
      <c r="AA360" s="18">
        <f>IF($U360="Overdue",COUNTIF($U$3:$U360,"Overdue"),"")</f>
        <v/>
      </c>
    </row>
    <row r="361">
      <c r="A361" s="4" t="n"/>
      <c r="B361" s="4" t="n"/>
      <c r="C361" s="4" t="n"/>
      <c r="D361" s="4" t="n"/>
      <c r="E361" s="5" t="n"/>
      <c r="F361" s="6" t="n"/>
      <c r="G361" s="6" t="n"/>
      <c r="H361" s="5" t="n"/>
      <c r="I361" s="5" t="n"/>
      <c r="J361" s="6" t="n"/>
      <c r="K361" s="6" t="n"/>
      <c r="L361" s="14" t="n"/>
      <c r="M361" s="14" t="n"/>
      <c r="N361" s="6" t="n"/>
      <c r="O361" s="14" t="n"/>
      <c r="P361" s="4" t="n"/>
      <c r="Q361" s="15">
        <f>IF($E361="","",ROUND(('Settings'!$B$6-$E361)/30.4375,1))</f>
        <v/>
      </c>
      <c r="R361" s="16">
        <f>IF(OR($E361="",N($F361)=0),"",$Q361/$F361)</f>
        <v/>
      </c>
      <c r="S361" s="16">
        <f>IF(N($K361)=0,"",N($J361)/$K361)</f>
        <v/>
      </c>
      <c r="T361" s="17">
        <f>IF(OR($H361="",$G361=""),"",$H361+$G361*7)</f>
        <v/>
      </c>
      <c r="U361" s="9">
        <f>IF(OR($A361="",NOT(OR($P361="Active",$P361="Retention"))),"",IF(AND($I361&lt;&gt;"",$I361&gt;='Settings'!$B$6),"Booked",IF($T361="","",IF('Settings'!$B$6&gt;$T361+'Settings'!$B$7,"Overdue",IF($T361&lt;='Settings'!$B$6+7,"Due this week","On schedule")))))</f>
        <v/>
      </c>
      <c r="V361" s="15">
        <f>IF(OR($L361="",N($N361)=0),"",($L361-N($M361))/$N361)</f>
        <v/>
      </c>
      <c r="W361" s="15">
        <f>IF(OR($L361="",$E361=""),"",MIN($L361,N($M361)+N($V361)*MIN(N($N361),MAX(0,((YEAR('Settings'!$B$6)-YEAR($E361))*12+MONTH('Settings'!$B$6)-MONTH($E361)-IF(DAY('Settings'!$B$6)&lt;DAY($E361),1,0))))))</f>
        <v/>
      </c>
      <c r="X361" s="15">
        <f>IF($L361="","",$L361-N($O361))</f>
        <v/>
      </c>
      <c r="Y361" s="15">
        <f>IF($W361="","",MAX(0,$W361-N($O361)))</f>
        <v/>
      </c>
      <c r="Z361" s="9">
        <f>IF(OR($A361="",$L361=""),"",IF($X361&lt;=0,"Paid in full",IF($Y361&lt;1,"On track",IF($Y361&lt;=$V361,"1 instalment behind","Behind"))))</f>
        <v/>
      </c>
      <c r="AA361" s="18">
        <f>IF($U361="Overdue",COUNTIF($U$3:$U361,"Overdue"),"")</f>
        <v/>
      </c>
    </row>
    <row r="362">
      <c r="A362" s="4" t="n"/>
      <c r="B362" s="4" t="n"/>
      <c r="C362" s="4" t="n"/>
      <c r="D362" s="4" t="n"/>
      <c r="E362" s="5" t="n"/>
      <c r="F362" s="6" t="n"/>
      <c r="G362" s="6" t="n"/>
      <c r="H362" s="5" t="n"/>
      <c r="I362" s="5" t="n"/>
      <c r="J362" s="6" t="n"/>
      <c r="K362" s="6" t="n"/>
      <c r="L362" s="14" t="n"/>
      <c r="M362" s="14" t="n"/>
      <c r="N362" s="6" t="n"/>
      <c r="O362" s="14" t="n"/>
      <c r="P362" s="4" t="n"/>
      <c r="Q362" s="15">
        <f>IF($E362="","",ROUND(('Settings'!$B$6-$E362)/30.4375,1))</f>
        <v/>
      </c>
      <c r="R362" s="16">
        <f>IF(OR($E362="",N($F362)=0),"",$Q362/$F362)</f>
        <v/>
      </c>
      <c r="S362" s="16">
        <f>IF(N($K362)=0,"",N($J362)/$K362)</f>
        <v/>
      </c>
      <c r="T362" s="17">
        <f>IF(OR($H362="",$G362=""),"",$H362+$G362*7)</f>
        <v/>
      </c>
      <c r="U362" s="9">
        <f>IF(OR($A362="",NOT(OR($P362="Active",$P362="Retention"))),"",IF(AND($I362&lt;&gt;"",$I362&gt;='Settings'!$B$6),"Booked",IF($T362="","",IF('Settings'!$B$6&gt;$T362+'Settings'!$B$7,"Overdue",IF($T362&lt;='Settings'!$B$6+7,"Due this week","On schedule")))))</f>
        <v/>
      </c>
      <c r="V362" s="15">
        <f>IF(OR($L362="",N($N362)=0),"",($L362-N($M362))/$N362)</f>
        <v/>
      </c>
      <c r="W362" s="15">
        <f>IF(OR($L362="",$E362=""),"",MIN($L362,N($M362)+N($V362)*MIN(N($N362),MAX(0,((YEAR('Settings'!$B$6)-YEAR($E362))*12+MONTH('Settings'!$B$6)-MONTH($E362)-IF(DAY('Settings'!$B$6)&lt;DAY($E362),1,0))))))</f>
        <v/>
      </c>
      <c r="X362" s="15">
        <f>IF($L362="","",$L362-N($O362))</f>
        <v/>
      </c>
      <c r="Y362" s="15">
        <f>IF($W362="","",MAX(0,$W362-N($O362)))</f>
        <v/>
      </c>
      <c r="Z362" s="9">
        <f>IF(OR($A362="",$L362=""),"",IF($X362&lt;=0,"Paid in full",IF($Y362&lt;1,"On track",IF($Y362&lt;=$V362,"1 instalment behind","Behind"))))</f>
        <v/>
      </c>
      <c r="AA362" s="18">
        <f>IF($U362="Overdue",COUNTIF($U$3:$U362,"Overdue"),"")</f>
        <v/>
      </c>
    </row>
    <row r="363">
      <c r="A363" s="4" t="n"/>
      <c r="B363" s="4" t="n"/>
      <c r="C363" s="4" t="n"/>
      <c r="D363" s="4" t="n"/>
      <c r="E363" s="5" t="n"/>
      <c r="F363" s="6" t="n"/>
      <c r="G363" s="6" t="n"/>
      <c r="H363" s="5" t="n"/>
      <c r="I363" s="5" t="n"/>
      <c r="J363" s="6" t="n"/>
      <c r="K363" s="6" t="n"/>
      <c r="L363" s="14" t="n"/>
      <c r="M363" s="14" t="n"/>
      <c r="N363" s="6" t="n"/>
      <c r="O363" s="14" t="n"/>
      <c r="P363" s="4" t="n"/>
      <c r="Q363" s="15">
        <f>IF($E363="","",ROUND(('Settings'!$B$6-$E363)/30.4375,1))</f>
        <v/>
      </c>
      <c r="R363" s="16">
        <f>IF(OR($E363="",N($F363)=0),"",$Q363/$F363)</f>
        <v/>
      </c>
      <c r="S363" s="16">
        <f>IF(N($K363)=0,"",N($J363)/$K363)</f>
        <v/>
      </c>
      <c r="T363" s="17">
        <f>IF(OR($H363="",$G363=""),"",$H363+$G363*7)</f>
        <v/>
      </c>
      <c r="U363" s="9">
        <f>IF(OR($A363="",NOT(OR($P363="Active",$P363="Retention"))),"",IF(AND($I363&lt;&gt;"",$I363&gt;='Settings'!$B$6),"Booked",IF($T363="","",IF('Settings'!$B$6&gt;$T363+'Settings'!$B$7,"Overdue",IF($T363&lt;='Settings'!$B$6+7,"Due this week","On schedule")))))</f>
        <v/>
      </c>
      <c r="V363" s="15">
        <f>IF(OR($L363="",N($N363)=0),"",($L363-N($M363))/$N363)</f>
        <v/>
      </c>
      <c r="W363" s="15">
        <f>IF(OR($L363="",$E363=""),"",MIN($L363,N($M363)+N($V363)*MIN(N($N363),MAX(0,((YEAR('Settings'!$B$6)-YEAR($E363))*12+MONTH('Settings'!$B$6)-MONTH($E363)-IF(DAY('Settings'!$B$6)&lt;DAY($E363),1,0))))))</f>
        <v/>
      </c>
      <c r="X363" s="15">
        <f>IF($L363="","",$L363-N($O363))</f>
        <v/>
      </c>
      <c r="Y363" s="15">
        <f>IF($W363="","",MAX(0,$W363-N($O363)))</f>
        <v/>
      </c>
      <c r="Z363" s="9">
        <f>IF(OR($A363="",$L363=""),"",IF($X363&lt;=0,"Paid in full",IF($Y363&lt;1,"On track",IF($Y363&lt;=$V363,"1 instalment behind","Behind"))))</f>
        <v/>
      </c>
      <c r="AA363" s="18">
        <f>IF($U363="Overdue",COUNTIF($U$3:$U363,"Overdue"),"")</f>
        <v/>
      </c>
    </row>
    <row r="364">
      <c r="A364" s="4" t="n"/>
      <c r="B364" s="4" t="n"/>
      <c r="C364" s="4" t="n"/>
      <c r="D364" s="4" t="n"/>
      <c r="E364" s="5" t="n"/>
      <c r="F364" s="6" t="n"/>
      <c r="G364" s="6" t="n"/>
      <c r="H364" s="5" t="n"/>
      <c r="I364" s="5" t="n"/>
      <c r="J364" s="6" t="n"/>
      <c r="K364" s="6" t="n"/>
      <c r="L364" s="14" t="n"/>
      <c r="M364" s="14" t="n"/>
      <c r="N364" s="6" t="n"/>
      <c r="O364" s="14" t="n"/>
      <c r="P364" s="4" t="n"/>
      <c r="Q364" s="15">
        <f>IF($E364="","",ROUND(('Settings'!$B$6-$E364)/30.4375,1))</f>
        <v/>
      </c>
      <c r="R364" s="16">
        <f>IF(OR($E364="",N($F364)=0),"",$Q364/$F364)</f>
        <v/>
      </c>
      <c r="S364" s="16">
        <f>IF(N($K364)=0,"",N($J364)/$K364)</f>
        <v/>
      </c>
      <c r="T364" s="17">
        <f>IF(OR($H364="",$G364=""),"",$H364+$G364*7)</f>
        <v/>
      </c>
      <c r="U364" s="9">
        <f>IF(OR($A364="",NOT(OR($P364="Active",$P364="Retention"))),"",IF(AND($I364&lt;&gt;"",$I364&gt;='Settings'!$B$6),"Booked",IF($T364="","",IF('Settings'!$B$6&gt;$T364+'Settings'!$B$7,"Overdue",IF($T364&lt;='Settings'!$B$6+7,"Due this week","On schedule")))))</f>
        <v/>
      </c>
      <c r="V364" s="15">
        <f>IF(OR($L364="",N($N364)=0),"",($L364-N($M364))/$N364)</f>
        <v/>
      </c>
      <c r="W364" s="15">
        <f>IF(OR($L364="",$E364=""),"",MIN($L364,N($M364)+N($V364)*MIN(N($N364),MAX(0,((YEAR('Settings'!$B$6)-YEAR($E364))*12+MONTH('Settings'!$B$6)-MONTH($E364)-IF(DAY('Settings'!$B$6)&lt;DAY($E364),1,0))))))</f>
        <v/>
      </c>
      <c r="X364" s="15">
        <f>IF($L364="","",$L364-N($O364))</f>
        <v/>
      </c>
      <c r="Y364" s="15">
        <f>IF($W364="","",MAX(0,$W364-N($O364)))</f>
        <v/>
      </c>
      <c r="Z364" s="9">
        <f>IF(OR($A364="",$L364=""),"",IF($X364&lt;=0,"Paid in full",IF($Y364&lt;1,"On track",IF($Y364&lt;=$V364,"1 instalment behind","Behind"))))</f>
        <v/>
      </c>
      <c r="AA364" s="18">
        <f>IF($U364="Overdue",COUNTIF($U$3:$U364,"Overdue"),"")</f>
        <v/>
      </c>
    </row>
    <row r="365">
      <c r="A365" s="4" t="n"/>
      <c r="B365" s="4" t="n"/>
      <c r="C365" s="4" t="n"/>
      <c r="D365" s="4" t="n"/>
      <c r="E365" s="5" t="n"/>
      <c r="F365" s="6" t="n"/>
      <c r="G365" s="6" t="n"/>
      <c r="H365" s="5" t="n"/>
      <c r="I365" s="5" t="n"/>
      <c r="J365" s="6" t="n"/>
      <c r="K365" s="6" t="n"/>
      <c r="L365" s="14" t="n"/>
      <c r="M365" s="14" t="n"/>
      <c r="N365" s="6" t="n"/>
      <c r="O365" s="14" t="n"/>
      <c r="P365" s="4" t="n"/>
      <c r="Q365" s="15">
        <f>IF($E365="","",ROUND(('Settings'!$B$6-$E365)/30.4375,1))</f>
        <v/>
      </c>
      <c r="R365" s="16">
        <f>IF(OR($E365="",N($F365)=0),"",$Q365/$F365)</f>
        <v/>
      </c>
      <c r="S365" s="16">
        <f>IF(N($K365)=0,"",N($J365)/$K365)</f>
        <v/>
      </c>
      <c r="T365" s="17">
        <f>IF(OR($H365="",$G365=""),"",$H365+$G365*7)</f>
        <v/>
      </c>
      <c r="U365" s="9">
        <f>IF(OR($A365="",NOT(OR($P365="Active",$P365="Retention"))),"",IF(AND($I365&lt;&gt;"",$I365&gt;='Settings'!$B$6),"Booked",IF($T365="","",IF('Settings'!$B$6&gt;$T365+'Settings'!$B$7,"Overdue",IF($T365&lt;='Settings'!$B$6+7,"Due this week","On schedule")))))</f>
        <v/>
      </c>
      <c r="V365" s="15">
        <f>IF(OR($L365="",N($N365)=0),"",($L365-N($M365))/$N365)</f>
        <v/>
      </c>
      <c r="W365" s="15">
        <f>IF(OR($L365="",$E365=""),"",MIN($L365,N($M365)+N($V365)*MIN(N($N365),MAX(0,((YEAR('Settings'!$B$6)-YEAR($E365))*12+MONTH('Settings'!$B$6)-MONTH($E365)-IF(DAY('Settings'!$B$6)&lt;DAY($E365),1,0))))))</f>
        <v/>
      </c>
      <c r="X365" s="15">
        <f>IF($L365="","",$L365-N($O365))</f>
        <v/>
      </c>
      <c r="Y365" s="15">
        <f>IF($W365="","",MAX(0,$W365-N($O365)))</f>
        <v/>
      </c>
      <c r="Z365" s="9">
        <f>IF(OR($A365="",$L365=""),"",IF($X365&lt;=0,"Paid in full",IF($Y365&lt;1,"On track",IF($Y365&lt;=$V365,"1 instalment behind","Behind"))))</f>
        <v/>
      </c>
      <c r="AA365" s="18">
        <f>IF($U365="Overdue",COUNTIF($U$3:$U365,"Overdue"),"")</f>
        <v/>
      </c>
    </row>
    <row r="366">
      <c r="A366" s="4" t="n"/>
      <c r="B366" s="4" t="n"/>
      <c r="C366" s="4" t="n"/>
      <c r="D366" s="4" t="n"/>
      <c r="E366" s="5" t="n"/>
      <c r="F366" s="6" t="n"/>
      <c r="G366" s="6" t="n"/>
      <c r="H366" s="5" t="n"/>
      <c r="I366" s="5" t="n"/>
      <c r="J366" s="6" t="n"/>
      <c r="K366" s="6" t="n"/>
      <c r="L366" s="14" t="n"/>
      <c r="M366" s="14" t="n"/>
      <c r="N366" s="6" t="n"/>
      <c r="O366" s="14" t="n"/>
      <c r="P366" s="4" t="n"/>
      <c r="Q366" s="15">
        <f>IF($E366="","",ROUND(('Settings'!$B$6-$E366)/30.4375,1))</f>
        <v/>
      </c>
      <c r="R366" s="16">
        <f>IF(OR($E366="",N($F366)=0),"",$Q366/$F366)</f>
        <v/>
      </c>
      <c r="S366" s="16">
        <f>IF(N($K366)=0,"",N($J366)/$K366)</f>
        <v/>
      </c>
      <c r="T366" s="17">
        <f>IF(OR($H366="",$G366=""),"",$H366+$G366*7)</f>
        <v/>
      </c>
      <c r="U366" s="9">
        <f>IF(OR($A366="",NOT(OR($P366="Active",$P366="Retention"))),"",IF(AND($I366&lt;&gt;"",$I366&gt;='Settings'!$B$6),"Booked",IF($T366="","",IF('Settings'!$B$6&gt;$T366+'Settings'!$B$7,"Overdue",IF($T366&lt;='Settings'!$B$6+7,"Due this week","On schedule")))))</f>
        <v/>
      </c>
      <c r="V366" s="15">
        <f>IF(OR($L366="",N($N366)=0),"",($L366-N($M366))/$N366)</f>
        <v/>
      </c>
      <c r="W366" s="15">
        <f>IF(OR($L366="",$E366=""),"",MIN($L366,N($M366)+N($V366)*MIN(N($N366),MAX(0,((YEAR('Settings'!$B$6)-YEAR($E366))*12+MONTH('Settings'!$B$6)-MONTH($E366)-IF(DAY('Settings'!$B$6)&lt;DAY($E366),1,0))))))</f>
        <v/>
      </c>
      <c r="X366" s="15">
        <f>IF($L366="","",$L366-N($O366))</f>
        <v/>
      </c>
      <c r="Y366" s="15">
        <f>IF($W366="","",MAX(0,$W366-N($O366)))</f>
        <v/>
      </c>
      <c r="Z366" s="9">
        <f>IF(OR($A366="",$L366=""),"",IF($X366&lt;=0,"Paid in full",IF($Y366&lt;1,"On track",IF($Y366&lt;=$V366,"1 instalment behind","Behind"))))</f>
        <v/>
      </c>
      <c r="AA366" s="18">
        <f>IF($U366="Overdue",COUNTIF($U$3:$U366,"Overdue"),"")</f>
        <v/>
      </c>
    </row>
    <row r="367">
      <c r="A367" s="4" t="n"/>
      <c r="B367" s="4" t="n"/>
      <c r="C367" s="4" t="n"/>
      <c r="D367" s="4" t="n"/>
      <c r="E367" s="5" t="n"/>
      <c r="F367" s="6" t="n"/>
      <c r="G367" s="6" t="n"/>
      <c r="H367" s="5" t="n"/>
      <c r="I367" s="5" t="n"/>
      <c r="J367" s="6" t="n"/>
      <c r="K367" s="6" t="n"/>
      <c r="L367" s="14" t="n"/>
      <c r="M367" s="14" t="n"/>
      <c r="N367" s="6" t="n"/>
      <c r="O367" s="14" t="n"/>
      <c r="P367" s="4" t="n"/>
      <c r="Q367" s="15">
        <f>IF($E367="","",ROUND(('Settings'!$B$6-$E367)/30.4375,1))</f>
        <v/>
      </c>
      <c r="R367" s="16">
        <f>IF(OR($E367="",N($F367)=0),"",$Q367/$F367)</f>
        <v/>
      </c>
      <c r="S367" s="16">
        <f>IF(N($K367)=0,"",N($J367)/$K367)</f>
        <v/>
      </c>
      <c r="T367" s="17">
        <f>IF(OR($H367="",$G367=""),"",$H367+$G367*7)</f>
        <v/>
      </c>
      <c r="U367" s="9">
        <f>IF(OR($A367="",NOT(OR($P367="Active",$P367="Retention"))),"",IF(AND($I367&lt;&gt;"",$I367&gt;='Settings'!$B$6),"Booked",IF($T367="","",IF('Settings'!$B$6&gt;$T367+'Settings'!$B$7,"Overdue",IF($T367&lt;='Settings'!$B$6+7,"Due this week","On schedule")))))</f>
        <v/>
      </c>
      <c r="V367" s="15">
        <f>IF(OR($L367="",N($N367)=0),"",($L367-N($M367))/$N367)</f>
        <v/>
      </c>
      <c r="W367" s="15">
        <f>IF(OR($L367="",$E367=""),"",MIN($L367,N($M367)+N($V367)*MIN(N($N367),MAX(0,((YEAR('Settings'!$B$6)-YEAR($E367))*12+MONTH('Settings'!$B$6)-MONTH($E367)-IF(DAY('Settings'!$B$6)&lt;DAY($E367),1,0))))))</f>
        <v/>
      </c>
      <c r="X367" s="15">
        <f>IF($L367="","",$L367-N($O367))</f>
        <v/>
      </c>
      <c r="Y367" s="15">
        <f>IF($W367="","",MAX(0,$W367-N($O367)))</f>
        <v/>
      </c>
      <c r="Z367" s="9">
        <f>IF(OR($A367="",$L367=""),"",IF($X367&lt;=0,"Paid in full",IF($Y367&lt;1,"On track",IF($Y367&lt;=$V367,"1 instalment behind","Behind"))))</f>
        <v/>
      </c>
      <c r="AA367" s="18">
        <f>IF($U367="Overdue",COUNTIF($U$3:$U367,"Overdue"),"")</f>
        <v/>
      </c>
    </row>
    <row r="368">
      <c r="A368" s="4" t="n"/>
      <c r="B368" s="4" t="n"/>
      <c r="C368" s="4" t="n"/>
      <c r="D368" s="4" t="n"/>
      <c r="E368" s="5" t="n"/>
      <c r="F368" s="6" t="n"/>
      <c r="G368" s="6" t="n"/>
      <c r="H368" s="5" t="n"/>
      <c r="I368" s="5" t="n"/>
      <c r="J368" s="6" t="n"/>
      <c r="K368" s="6" t="n"/>
      <c r="L368" s="14" t="n"/>
      <c r="M368" s="14" t="n"/>
      <c r="N368" s="6" t="n"/>
      <c r="O368" s="14" t="n"/>
      <c r="P368" s="4" t="n"/>
      <c r="Q368" s="15">
        <f>IF($E368="","",ROUND(('Settings'!$B$6-$E368)/30.4375,1))</f>
        <v/>
      </c>
      <c r="R368" s="16">
        <f>IF(OR($E368="",N($F368)=0),"",$Q368/$F368)</f>
        <v/>
      </c>
      <c r="S368" s="16">
        <f>IF(N($K368)=0,"",N($J368)/$K368)</f>
        <v/>
      </c>
      <c r="T368" s="17">
        <f>IF(OR($H368="",$G368=""),"",$H368+$G368*7)</f>
        <v/>
      </c>
      <c r="U368" s="9">
        <f>IF(OR($A368="",NOT(OR($P368="Active",$P368="Retention"))),"",IF(AND($I368&lt;&gt;"",$I368&gt;='Settings'!$B$6),"Booked",IF($T368="","",IF('Settings'!$B$6&gt;$T368+'Settings'!$B$7,"Overdue",IF($T368&lt;='Settings'!$B$6+7,"Due this week","On schedule")))))</f>
        <v/>
      </c>
      <c r="V368" s="15">
        <f>IF(OR($L368="",N($N368)=0),"",($L368-N($M368))/$N368)</f>
        <v/>
      </c>
      <c r="W368" s="15">
        <f>IF(OR($L368="",$E368=""),"",MIN($L368,N($M368)+N($V368)*MIN(N($N368),MAX(0,((YEAR('Settings'!$B$6)-YEAR($E368))*12+MONTH('Settings'!$B$6)-MONTH($E368)-IF(DAY('Settings'!$B$6)&lt;DAY($E368),1,0))))))</f>
        <v/>
      </c>
      <c r="X368" s="15">
        <f>IF($L368="","",$L368-N($O368))</f>
        <v/>
      </c>
      <c r="Y368" s="15">
        <f>IF($W368="","",MAX(0,$W368-N($O368)))</f>
        <v/>
      </c>
      <c r="Z368" s="9">
        <f>IF(OR($A368="",$L368=""),"",IF($X368&lt;=0,"Paid in full",IF($Y368&lt;1,"On track",IF($Y368&lt;=$V368,"1 instalment behind","Behind"))))</f>
        <v/>
      </c>
      <c r="AA368" s="18">
        <f>IF($U368="Overdue",COUNTIF($U$3:$U368,"Overdue"),"")</f>
        <v/>
      </c>
    </row>
    <row r="369">
      <c r="A369" s="4" t="n"/>
      <c r="B369" s="4" t="n"/>
      <c r="C369" s="4" t="n"/>
      <c r="D369" s="4" t="n"/>
      <c r="E369" s="5" t="n"/>
      <c r="F369" s="6" t="n"/>
      <c r="G369" s="6" t="n"/>
      <c r="H369" s="5" t="n"/>
      <c r="I369" s="5" t="n"/>
      <c r="J369" s="6" t="n"/>
      <c r="K369" s="6" t="n"/>
      <c r="L369" s="14" t="n"/>
      <c r="M369" s="14" t="n"/>
      <c r="N369" s="6" t="n"/>
      <c r="O369" s="14" t="n"/>
      <c r="P369" s="4" t="n"/>
      <c r="Q369" s="15">
        <f>IF($E369="","",ROUND(('Settings'!$B$6-$E369)/30.4375,1))</f>
        <v/>
      </c>
      <c r="R369" s="16">
        <f>IF(OR($E369="",N($F369)=0),"",$Q369/$F369)</f>
        <v/>
      </c>
      <c r="S369" s="16">
        <f>IF(N($K369)=0,"",N($J369)/$K369)</f>
        <v/>
      </c>
      <c r="T369" s="17">
        <f>IF(OR($H369="",$G369=""),"",$H369+$G369*7)</f>
        <v/>
      </c>
      <c r="U369" s="9">
        <f>IF(OR($A369="",NOT(OR($P369="Active",$P369="Retention"))),"",IF(AND($I369&lt;&gt;"",$I369&gt;='Settings'!$B$6),"Booked",IF($T369="","",IF('Settings'!$B$6&gt;$T369+'Settings'!$B$7,"Overdue",IF($T369&lt;='Settings'!$B$6+7,"Due this week","On schedule")))))</f>
        <v/>
      </c>
      <c r="V369" s="15">
        <f>IF(OR($L369="",N($N369)=0),"",($L369-N($M369))/$N369)</f>
        <v/>
      </c>
      <c r="W369" s="15">
        <f>IF(OR($L369="",$E369=""),"",MIN($L369,N($M369)+N($V369)*MIN(N($N369),MAX(0,((YEAR('Settings'!$B$6)-YEAR($E369))*12+MONTH('Settings'!$B$6)-MONTH($E369)-IF(DAY('Settings'!$B$6)&lt;DAY($E369),1,0))))))</f>
        <v/>
      </c>
      <c r="X369" s="15">
        <f>IF($L369="","",$L369-N($O369))</f>
        <v/>
      </c>
      <c r="Y369" s="15">
        <f>IF($W369="","",MAX(0,$W369-N($O369)))</f>
        <v/>
      </c>
      <c r="Z369" s="9">
        <f>IF(OR($A369="",$L369=""),"",IF($X369&lt;=0,"Paid in full",IF($Y369&lt;1,"On track",IF($Y369&lt;=$V369,"1 instalment behind","Behind"))))</f>
        <v/>
      </c>
      <c r="AA369" s="18">
        <f>IF($U369="Overdue",COUNTIF($U$3:$U369,"Overdue"),"")</f>
        <v/>
      </c>
    </row>
    <row r="370">
      <c r="A370" s="4" t="n"/>
      <c r="B370" s="4" t="n"/>
      <c r="C370" s="4" t="n"/>
      <c r="D370" s="4" t="n"/>
      <c r="E370" s="5" t="n"/>
      <c r="F370" s="6" t="n"/>
      <c r="G370" s="6" t="n"/>
      <c r="H370" s="5" t="n"/>
      <c r="I370" s="5" t="n"/>
      <c r="J370" s="6" t="n"/>
      <c r="K370" s="6" t="n"/>
      <c r="L370" s="14" t="n"/>
      <c r="M370" s="14" t="n"/>
      <c r="N370" s="6" t="n"/>
      <c r="O370" s="14" t="n"/>
      <c r="P370" s="4" t="n"/>
      <c r="Q370" s="15">
        <f>IF($E370="","",ROUND(('Settings'!$B$6-$E370)/30.4375,1))</f>
        <v/>
      </c>
      <c r="R370" s="16">
        <f>IF(OR($E370="",N($F370)=0),"",$Q370/$F370)</f>
        <v/>
      </c>
      <c r="S370" s="16">
        <f>IF(N($K370)=0,"",N($J370)/$K370)</f>
        <v/>
      </c>
      <c r="T370" s="17">
        <f>IF(OR($H370="",$G370=""),"",$H370+$G370*7)</f>
        <v/>
      </c>
      <c r="U370" s="9">
        <f>IF(OR($A370="",NOT(OR($P370="Active",$P370="Retention"))),"",IF(AND($I370&lt;&gt;"",$I370&gt;='Settings'!$B$6),"Booked",IF($T370="","",IF('Settings'!$B$6&gt;$T370+'Settings'!$B$7,"Overdue",IF($T370&lt;='Settings'!$B$6+7,"Due this week","On schedule")))))</f>
        <v/>
      </c>
      <c r="V370" s="15">
        <f>IF(OR($L370="",N($N370)=0),"",($L370-N($M370))/$N370)</f>
        <v/>
      </c>
      <c r="W370" s="15">
        <f>IF(OR($L370="",$E370=""),"",MIN($L370,N($M370)+N($V370)*MIN(N($N370),MAX(0,((YEAR('Settings'!$B$6)-YEAR($E370))*12+MONTH('Settings'!$B$6)-MONTH($E370)-IF(DAY('Settings'!$B$6)&lt;DAY($E370),1,0))))))</f>
        <v/>
      </c>
      <c r="X370" s="15">
        <f>IF($L370="","",$L370-N($O370))</f>
        <v/>
      </c>
      <c r="Y370" s="15">
        <f>IF($W370="","",MAX(0,$W370-N($O370)))</f>
        <v/>
      </c>
      <c r="Z370" s="9">
        <f>IF(OR($A370="",$L370=""),"",IF($X370&lt;=0,"Paid in full",IF($Y370&lt;1,"On track",IF($Y370&lt;=$V370,"1 instalment behind","Behind"))))</f>
        <v/>
      </c>
      <c r="AA370" s="18">
        <f>IF($U370="Overdue",COUNTIF($U$3:$U370,"Overdue"),"")</f>
        <v/>
      </c>
    </row>
    <row r="371">
      <c r="A371" s="4" t="n"/>
      <c r="B371" s="4" t="n"/>
      <c r="C371" s="4" t="n"/>
      <c r="D371" s="4" t="n"/>
      <c r="E371" s="5" t="n"/>
      <c r="F371" s="6" t="n"/>
      <c r="G371" s="6" t="n"/>
      <c r="H371" s="5" t="n"/>
      <c r="I371" s="5" t="n"/>
      <c r="J371" s="6" t="n"/>
      <c r="K371" s="6" t="n"/>
      <c r="L371" s="14" t="n"/>
      <c r="M371" s="14" t="n"/>
      <c r="N371" s="6" t="n"/>
      <c r="O371" s="14" t="n"/>
      <c r="P371" s="4" t="n"/>
      <c r="Q371" s="15">
        <f>IF($E371="","",ROUND(('Settings'!$B$6-$E371)/30.4375,1))</f>
        <v/>
      </c>
      <c r="R371" s="16">
        <f>IF(OR($E371="",N($F371)=0),"",$Q371/$F371)</f>
        <v/>
      </c>
      <c r="S371" s="16">
        <f>IF(N($K371)=0,"",N($J371)/$K371)</f>
        <v/>
      </c>
      <c r="T371" s="17">
        <f>IF(OR($H371="",$G371=""),"",$H371+$G371*7)</f>
        <v/>
      </c>
      <c r="U371" s="9">
        <f>IF(OR($A371="",NOT(OR($P371="Active",$P371="Retention"))),"",IF(AND($I371&lt;&gt;"",$I371&gt;='Settings'!$B$6),"Booked",IF($T371="","",IF('Settings'!$B$6&gt;$T371+'Settings'!$B$7,"Overdue",IF($T371&lt;='Settings'!$B$6+7,"Due this week","On schedule")))))</f>
        <v/>
      </c>
      <c r="V371" s="15">
        <f>IF(OR($L371="",N($N371)=0),"",($L371-N($M371))/$N371)</f>
        <v/>
      </c>
      <c r="W371" s="15">
        <f>IF(OR($L371="",$E371=""),"",MIN($L371,N($M371)+N($V371)*MIN(N($N371),MAX(0,((YEAR('Settings'!$B$6)-YEAR($E371))*12+MONTH('Settings'!$B$6)-MONTH($E371)-IF(DAY('Settings'!$B$6)&lt;DAY($E371),1,0))))))</f>
        <v/>
      </c>
      <c r="X371" s="15">
        <f>IF($L371="","",$L371-N($O371))</f>
        <v/>
      </c>
      <c r="Y371" s="15">
        <f>IF($W371="","",MAX(0,$W371-N($O371)))</f>
        <v/>
      </c>
      <c r="Z371" s="9">
        <f>IF(OR($A371="",$L371=""),"",IF($X371&lt;=0,"Paid in full",IF($Y371&lt;1,"On track",IF($Y371&lt;=$V371,"1 instalment behind","Behind"))))</f>
        <v/>
      </c>
      <c r="AA371" s="18">
        <f>IF($U371="Overdue",COUNTIF($U$3:$U371,"Overdue"),"")</f>
        <v/>
      </c>
    </row>
    <row r="372">
      <c r="A372" s="4" t="n"/>
      <c r="B372" s="4" t="n"/>
      <c r="C372" s="4" t="n"/>
      <c r="D372" s="4" t="n"/>
      <c r="E372" s="5" t="n"/>
      <c r="F372" s="6" t="n"/>
      <c r="G372" s="6" t="n"/>
      <c r="H372" s="5" t="n"/>
      <c r="I372" s="5" t="n"/>
      <c r="J372" s="6" t="n"/>
      <c r="K372" s="6" t="n"/>
      <c r="L372" s="14" t="n"/>
      <c r="M372" s="14" t="n"/>
      <c r="N372" s="6" t="n"/>
      <c r="O372" s="14" t="n"/>
      <c r="P372" s="4" t="n"/>
      <c r="Q372" s="15">
        <f>IF($E372="","",ROUND(('Settings'!$B$6-$E372)/30.4375,1))</f>
        <v/>
      </c>
      <c r="R372" s="16">
        <f>IF(OR($E372="",N($F372)=0),"",$Q372/$F372)</f>
        <v/>
      </c>
      <c r="S372" s="16">
        <f>IF(N($K372)=0,"",N($J372)/$K372)</f>
        <v/>
      </c>
      <c r="T372" s="17">
        <f>IF(OR($H372="",$G372=""),"",$H372+$G372*7)</f>
        <v/>
      </c>
      <c r="U372" s="9">
        <f>IF(OR($A372="",NOT(OR($P372="Active",$P372="Retention"))),"",IF(AND($I372&lt;&gt;"",$I372&gt;='Settings'!$B$6),"Booked",IF($T372="","",IF('Settings'!$B$6&gt;$T372+'Settings'!$B$7,"Overdue",IF($T372&lt;='Settings'!$B$6+7,"Due this week","On schedule")))))</f>
        <v/>
      </c>
      <c r="V372" s="15">
        <f>IF(OR($L372="",N($N372)=0),"",($L372-N($M372))/$N372)</f>
        <v/>
      </c>
      <c r="W372" s="15">
        <f>IF(OR($L372="",$E372=""),"",MIN($L372,N($M372)+N($V372)*MIN(N($N372),MAX(0,((YEAR('Settings'!$B$6)-YEAR($E372))*12+MONTH('Settings'!$B$6)-MONTH($E372)-IF(DAY('Settings'!$B$6)&lt;DAY($E372),1,0))))))</f>
        <v/>
      </c>
      <c r="X372" s="15">
        <f>IF($L372="","",$L372-N($O372))</f>
        <v/>
      </c>
      <c r="Y372" s="15">
        <f>IF($W372="","",MAX(0,$W372-N($O372)))</f>
        <v/>
      </c>
      <c r="Z372" s="9">
        <f>IF(OR($A372="",$L372=""),"",IF($X372&lt;=0,"Paid in full",IF($Y372&lt;1,"On track",IF($Y372&lt;=$V372,"1 instalment behind","Behind"))))</f>
        <v/>
      </c>
      <c r="AA372" s="18">
        <f>IF($U372="Overdue",COUNTIF($U$3:$U372,"Overdue"),"")</f>
        <v/>
      </c>
    </row>
    <row r="373">
      <c r="A373" s="4" t="n"/>
      <c r="B373" s="4" t="n"/>
      <c r="C373" s="4" t="n"/>
      <c r="D373" s="4" t="n"/>
      <c r="E373" s="5" t="n"/>
      <c r="F373" s="6" t="n"/>
      <c r="G373" s="6" t="n"/>
      <c r="H373" s="5" t="n"/>
      <c r="I373" s="5" t="n"/>
      <c r="J373" s="6" t="n"/>
      <c r="K373" s="6" t="n"/>
      <c r="L373" s="14" t="n"/>
      <c r="M373" s="14" t="n"/>
      <c r="N373" s="6" t="n"/>
      <c r="O373" s="14" t="n"/>
      <c r="P373" s="4" t="n"/>
      <c r="Q373" s="15">
        <f>IF($E373="","",ROUND(('Settings'!$B$6-$E373)/30.4375,1))</f>
        <v/>
      </c>
      <c r="R373" s="16">
        <f>IF(OR($E373="",N($F373)=0),"",$Q373/$F373)</f>
        <v/>
      </c>
      <c r="S373" s="16">
        <f>IF(N($K373)=0,"",N($J373)/$K373)</f>
        <v/>
      </c>
      <c r="T373" s="17">
        <f>IF(OR($H373="",$G373=""),"",$H373+$G373*7)</f>
        <v/>
      </c>
      <c r="U373" s="9">
        <f>IF(OR($A373="",NOT(OR($P373="Active",$P373="Retention"))),"",IF(AND($I373&lt;&gt;"",$I373&gt;='Settings'!$B$6),"Booked",IF($T373="","",IF('Settings'!$B$6&gt;$T373+'Settings'!$B$7,"Overdue",IF($T373&lt;='Settings'!$B$6+7,"Due this week","On schedule")))))</f>
        <v/>
      </c>
      <c r="V373" s="15">
        <f>IF(OR($L373="",N($N373)=0),"",($L373-N($M373))/$N373)</f>
        <v/>
      </c>
      <c r="W373" s="15">
        <f>IF(OR($L373="",$E373=""),"",MIN($L373,N($M373)+N($V373)*MIN(N($N373),MAX(0,((YEAR('Settings'!$B$6)-YEAR($E373))*12+MONTH('Settings'!$B$6)-MONTH($E373)-IF(DAY('Settings'!$B$6)&lt;DAY($E373),1,0))))))</f>
        <v/>
      </c>
      <c r="X373" s="15">
        <f>IF($L373="","",$L373-N($O373))</f>
        <v/>
      </c>
      <c r="Y373" s="15">
        <f>IF($W373="","",MAX(0,$W373-N($O373)))</f>
        <v/>
      </c>
      <c r="Z373" s="9">
        <f>IF(OR($A373="",$L373=""),"",IF($X373&lt;=0,"Paid in full",IF($Y373&lt;1,"On track",IF($Y373&lt;=$V373,"1 instalment behind","Behind"))))</f>
        <v/>
      </c>
      <c r="AA373" s="18">
        <f>IF($U373="Overdue",COUNTIF($U$3:$U373,"Overdue"),"")</f>
        <v/>
      </c>
    </row>
    <row r="374">
      <c r="A374" s="4" t="n"/>
      <c r="B374" s="4" t="n"/>
      <c r="C374" s="4" t="n"/>
      <c r="D374" s="4" t="n"/>
      <c r="E374" s="5" t="n"/>
      <c r="F374" s="6" t="n"/>
      <c r="G374" s="6" t="n"/>
      <c r="H374" s="5" t="n"/>
      <c r="I374" s="5" t="n"/>
      <c r="J374" s="6" t="n"/>
      <c r="K374" s="6" t="n"/>
      <c r="L374" s="14" t="n"/>
      <c r="M374" s="14" t="n"/>
      <c r="N374" s="6" t="n"/>
      <c r="O374" s="14" t="n"/>
      <c r="P374" s="4" t="n"/>
      <c r="Q374" s="15">
        <f>IF($E374="","",ROUND(('Settings'!$B$6-$E374)/30.4375,1))</f>
        <v/>
      </c>
      <c r="R374" s="16">
        <f>IF(OR($E374="",N($F374)=0),"",$Q374/$F374)</f>
        <v/>
      </c>
      <c r="S374" s="16">
        <f>IF(N($K374)=0,"",N($J374)/$K374)</f>
        <v/>
      </c>
      <c r="T374" s="17">
        <f>IF(OR($H374="",$G374=""),"",$H374+$G374*7)</f>
        <v/>
      </c>
      <c r="U374" s="9">
        <f>IF(OR($A374="",NOT(OR($P374="Active",$P374="Retention"))),"",IF(AND($I374&lt;&gt;"",$I374&gt;='Settings'!$B$6),"Booked",IF($T374="","",IF('Settings'!$B$6&gt;$T374+'Settings'!$B$7,"Overdue",IF($T374&lt;='Settings'!$B$6+7,"Due this week","On schedule")))))</f>
        <v/>
      </c>
      <c r="V374" s="15">
        <f>IF(OR($L374="",N($N374)=0),"",($L374-N($M374))/$N374)</f>
        <v/>
      </c>
      <c r="W374" s="15">
        <f>IF(OR($L374="",$E374=""),"",MIN($L374,N($M374)+N($V374)*MIN(N($N374),MAX(0,((YEAR('Settings'!$B$6)-YEAR($E374))*12+MONTH('Settings'!$B$6)-MONTH($E374)-IF(DAY('Settings'!$B$6)&lt;DAY($E374),1,0))))))</f>
        <v/>
      </c>
      <c r="X374" s="15">
        <f>IF($L374="","",$L374-N($O374))</f>
        <v/>
      </c>
      <c r="Y374" s="15">
        <f>IF($W374="","",MAX(0,$W374-N($O374)))</f>
        <v/>
      </c>
      <c r="Z374" s="9">
        <f>IF(OR($A374="",$L374=""),"",IF($X374&lt;=0,"Paid in full",IF($Y374&lt;1,"On track",IF($Y374&lt;=$V374,"1 instalment behind","Behind"))))</f>
        <v/>
      </c>
      <c r="AA374" s="18">
        <f>IF($U374="Overdue",COUNTIF($U$3:$U374,"Overdue"),"")</f>
        <v/>
      </c>
    </row>
    <row r="375">
      <c r="A375" s="4" t="n"/>
      <c r="B375" s="4" t="n"/>
      <c r="C375" s="4" t="n"/>
      <c r="D375" s="4" t="n"/>
      <c r="E375" s="5" t="n"/>
      <c r="F375" s="6" t="n"/>
      <c r="G375" s="6" t="n"/>
      <c r="H375" s="5" t="n"/>
      <c r="I375" s="5" t="n"/>
      <c r="J375" s="6" t="n"/>
      <c r="K375" s="6" t="n"/>
      <c r="L375" s="14" t="n"/>
      <c r="M375" s="14" t="n"/>
      <c r="N375" s="6" t="n"/>
      <c r="O375" s="14" t="n"/>
      <c r="P375" s="4" t="n"/>
      <c r="Q375" s="15">
        <f>IF($E375="","",ROUND(('Settings'!$B$6-$E375)/30.4375,1))</f>
        <v/>
      </c>
      <c r="R375" s="16">
        <f>IF(OR($E375="",N($F375)=0),"",$Q375/$F375)</f>
        <v/>
      </c>
      <c r="S375" s="16">
        <f>IF(N($K375)=0,"",N($J375)/$K375)</f>
        <v/>
      </c>
      <c r="T375" s="17">
        <f>IF(OR($H375="",$G375=""),"",$H375+$G375*7)</f>
        <v/>
      </c>
      <c r="U375" s="9">
        <f>IF(OR($A375="",NOT(OR($P375="Active",$P375="Retention"))),"",IF(AND($I375&lt;&gt;"",$I375&gt;='Settings'!$B$6),"Booked",IF($T375="","",IF('Settings'!$B$6&gt;$T375+'Settings'!$B$7,"Overdue",IF($T375&lt;='Settings'!$B$6+7,"Due this week","On schedule")))))</f>
        <v/>
      </c>
      <c r="V375" s="15">
        <f>IF(OR($L375="",N($N375)=0),"",($L375-N($M375))/$N375)</f>
        <v/>
      </c>
      <c r="W375" s="15">
        <f>IF(OR($L375="",$E375=""),"",MIN($L375,N($M375)+N($V375)*MIN(N($N375),MAX(0,((YEAR('Settings'!$B$6)-YEAR($E375))*12+MONTH('Settings'!$B$6)-MONTH($E375)-IF(DAY('Settings'!$B$6)&lt;DAY($E375),1,0))))))</f>
        <v/>
      </c>
      <c r="X375" s="15">
        <f>IF($L375="","",$L375-N($O375))</f>
        <v/>
      </c>
      <c r="Y375" s="15">
        <f>IF($W375="","",MAX(0,$W375-N($O375)))</f>
        <v/>
      </c>
      <c r="Z375" s="9">
        <f>IF(OR($A375="",$L375=""),"",IF($X375&lt;=0,"Paid in full",IF($Y375&lt;1,"On track",IF($Y375&lt;=$V375,"1 instalment behind","Behind"))))</f>
        <v/>
      </c>
      <c r="AA375" s="18">
        <f>IF($U375="Overdue",COUNTIF($U$3:$U375,"Overdue"),"")</f>
        <v/>
      </c>
    </row>
    <row r="376">
      <c r="A376" s="4" t="n"/>
      <c r="B376" s="4" t="n"/>
      <c r="C376" s="4" t="n"/>
      <c r="D376" s="4" t="n"/>
      <c r="E376" s="5" t="n"/>
      <c r="F376" s="6" t="n"/>
      <c r="G376" s="6" t="n"/>
      <c r="H376" s="5" t="n"/>
      <c r="I376" s="5" t="n"/>
      <c r="J376" s="6" t="n"/>
      <c r="K376" s="6" t="n"/>
      <c r="L376" s="14" t="n"/>
      <c r="M376" s="14" t="n"/>
      <c r="N376" s="6" t="n"/>
      <c r="O376" s="14" t="n"/>
      <c r="P376" s="4" t="n"/>
      <c r="Q376" s="15">
        <f>IF($E376="","",ROUND(('Settings'!$B$6-$E376)/30.4375,1))</f>
        <v/>
      </c>
      <c r="R376" s="16">
        <f>IF(OR($E376="",N($F376)=0),"",$Q376/$F376)</f>
        <v/>
      </c>
      <c r="S376" s="16">
        <f>IF(N($K376)=0,"",N($J376)/$K376)</f>
        <v/>
      </c>
      <c r="T376" s="17">
        <f>IF(OR($H376="",$G376=""),"",$H376+$G376*7)</f>
        <v/>
      </c>
      <c r="U376" s="9">
        <f>IF(OR($A376="",NOT(OR($P376="Active",$P376="Retention"))),"",IF(AND($I376&lt;&gt;"",$I376&gt;='Settings'!$B$6),"Booked",IF($T376="","",IF('Settings'!$B$6&gt;$T376+'Settings'!$B$7,"Overdue",IF($T376&lt;='Settings'!$B$6+7,"Due this week","On schedule")))))</f>
        <v/>
      </c>
      <c r="V376" s="15">
        <f>IF(OR($L376="",N($N376)=0),"",($L376-N($M376))/$N376)</f>
        <v/>
      </c>
      <c r="W376" s="15">
        <f>IF(OR($L376="",$E376=""),"",MIN($L376,N($M376)+N($V376)*MIN(N($N376),MAX(0,((YEAR('Settings'!$B$6)-YEAR($E376))*12+MONTH('Settings'!$B$6)-MONTH($E376)-IF(DAY('Settings'!$B$6)&lt;DAY($E376),1,0))))))</f>
        <v/>
      </c>
      <c r="X376" s="15">
        <f>IF($L376="","",$L376-N($O376))</f>
        <v/>
      </c>
      <c r="Y376" s="15">
        <f>IF($W376="","",MAX(0,$W376-N($O376)))</f>
        <v/>
      </c>
      <c r="Z376" s="9">
        <f>IF(OR($A376="",$L376=""),"",IF($X376&lt;=0,"Paid in full",IF($Y376&lt;1,"On track",IF($Y376&lt;=$V376,"1 instalment behind","Behind"))))</f>
        <v/>
      </c>
      <c r="AA376" s="18">
        <f>IF($U376="Overdue",COUNTIF($U$3:$U376,"Overdue"),"")</f>
        <v/>
      </c>
    </row>
    <row r="377">
      <c r="A377" s="4" t="n"/>
      <c r="B377" s="4" t="n"/>
      <c r="C377" s="4" t="n"/>
      <c r="D377" s="4" t="n"/>
      <c r="E377" s="5" t="n"/>
      <c r="F377" s="6" t="n"/>
      <c r="G377" s="6" t="n"/>
      <c r="H377" s="5" t="n"/>
      <c r="I377" s="5" t="n"/>
      <c r="J377" s="6" t="n"/>
      <c r="K377" s="6" t="n"/>
      <c r="L377" s="14" t="n"/>
      <c r="M377" s="14" t="n"/>
      <c r="N377" s="6" t="n"/>
      <c r="O377" s="14" t="n"/>
      <c r="P377" s="4" t="n"/>
      <c r="Q377" s="15">
        <f>IF($E377="","",ROUND(('Settings'!$B$6-$E377)/30.4375,1))</f>
        <v/>
      </c>
      <c r="R377" s="16">
        <f>IF(OR($E377="",N($F377)=0),"",$Q377/$F377)</f>
        <v/>
      </c>
      <c r="S377" s="16">
        <f>IF(N($K377)=0,"",N($J377)/$K377)</f>
        <v/>
      </c>
      <c r="T377" s="17">
        <f>IF(OR($H377="",$G377=""),"",$H377+$G377*7)</f>
        <v/>
      </c>
      <c r="U377" s="9">
        <f>IF(OR($A377="",NOT(OR($P377="Active",$P377="Retention"))),"",IF(AND($I377&lt;&gt;"",$I377&gt;='Settings'!$B$6),"Booked",IF($T377="","",IF('Settings'!$B$6&gt;$T377+'Settings'!$B$7,"Overdue",IF($T377&lt;='Settings'!$B$6+7,"Due this week","On schedule")))))</f>
        <v/>
      </c>
      <c r="V377" s="15">
        <f>IF(OR($L377="",N($N377)=0),"",($L377-N($M377))/$N377)</f>
        <v/>
      </c>
      <c r="W377" s="15">
        <f>IF(OR($L377="",$E377=""),"",MIN($L377,N($M377)+N($V377)*MIN(N($N377),MAX(0,((YEAR('Settings'!$B$6)-YEAR($E377))*12+MONTH('Settings'!$B$6)-MONTH($E377)-IF(DAY('Settings'!$B$6)&lt;DAY($E377),1,0))))))</f>
        <v/>
      </c>
      <c r="X377" s="15">
        <f>IF($L377="","",$L377-N($O377))</f>
        <v/>
      </c>
      <c r="Y377" s="15">
        <f>IF($W377="","",MAX(0,$W377-N($O377)))</f>
        <v/>
      </c>
      <c r="Z377" s="9">
        <f>IF(OR($A377="",$L377=""),"",IF($X377&lt;=0,"Paid in full",IF($Y377&lt;1,"On track",IF($Y377&lt;=$V377,"1 instalment behind","Behind"))))</f>
        <v/>
      </c>
      <c r="AA377" s="18">
        <f>IF($U377="Overdue",COUNTIF($U$3:$U377,"Overdue"),"")</f>
        <v/>
      </c>
    </row>
    <row r="378">
      <c r="A378" s="4" t="n"/>
      <c r="B378" s="4" t="n"/>
      <c r="C378" s="4" t="n"/>
      <c r="D378" s="4" t="n"/>
      <c r="E378" s="5" t="n"/>
      <c r="F378" s="6" t="n"/>
      <c r="G378" s="6" t="n"/>
      <c r="H378" s="5" t="n"/>
      <c r="I378" s="5" t="n"/>
      <c r="J378" s="6" t="n"/>
      <c r="K378" s="6" t="n"/>
      <c r="L378" s="14" t="n"/>
      <c r="M378" s="14" t="n"/>
      <c r="N378" s="6" t="n"/>
      <c r="O378" s="14" t="n"/>
      <c r="P378" s="4" t="n"/>
      <c r="Q378" s="15">
        <f>IF($E378="","",ROUND(('Settings'!$B$6-$E378)/30.4375,1))</f>
        <v/>
      </c>
      <c r="R378" s="16">
        <f>IF(OR($E378="",N($F378)=0),"",$Q378/$F378)</f>
        <v/>
      </c>
      <c r="S378" s="16">
        <f>IF(N($K378)=0,"",N($J378)/$K378)</f>
        <v/>
      </c>
      <c r="T378" s="17">
        <f>IF(OR($H378="",$G378=""),"",$H378+$G378*7)</f>
        <v/>
      </c>
      <c r="U378" s="9">
        <f>IF(OR($A378="",NOT(OR($P378="Active",$P378="Retention"))),"",IF(AND($I378&lt;&gt;"",$I378&gt;='Settings'!$B$6),"Booked",IF($T378="","",IF('Settings'!$B$6&gt;$T378+'Settings'!$B$7,"Overdue",IF($T378&lt;='Settings'!$B$6+7,"Due this week","On schedule")))))</f>
        <v/>
      </c>
      <c r="V378" s="15">
        <f>IF(OR($L378="",N($N378)=0),"",($L378-N($M378))/$N378)</f>
        <v/>
      </c>
      <c r="W378" s="15">
        <f>IF(OR($L378="",$E378=""),"",MIN($L378,N($M378)+N($V378)*MIN(N($N378),MAX(0,((YEAR('Settings'!$B$6)-YEAR($E378))*12+MONTH('Settings'!$B$6)-MONTH($E378)-IF(DAY('Settings'!$B$6)&lt;DAY($E378),1,0))))))</f>
        <v/>
      </c>
      <c r="X378" s="15">
        <f>IF($L378="","",$L378-N($O378))</f>
        <v/>
      </c>
      <c r="Y378" s="15">
        <f>IF($W378="","",MAX(0,$W378-N($O378)))</f>
        <v/>
      </c>
      <c r="Z378" s="9">
        <f>IF(OR($A378="",$L378=""),"",IF($X378&lt;=0,"Paid in full",IF($Y378&lt;1,"On track",IF($Y378&lt;=$V378,"1 instalment behind","Behind"))))</f>
        <v/>
      </c>
      <c r="AA378" s="18">
        <f>IF($U378="Overdue",COUNTIF($U$3:$U378,"Overdue"),"")</f>
        <v/>
      </c>
    </row>
    <row r="379">
      <c r="A379" s="4" t="n"/>
      <c r="B379" s="4" t="n"/>
      <c r="C379" s="4" t="n"/>
      <c r="D379" s="4" t="n"/>
      <c r="E379" s="5" t="n"/>
      <c r="F379" s="6" t="n"/>
      <c r="G379" s="6" t="n"/>
      <c r="H379" s="5" t="n"/>
      <c r="I379" s="5" t="n"/>
      <c r="J379" s="6" t="n"/>
      <c r="K379" s="6" t="n"/>
      <c r="L379" s="14" t="n"/>
      <c r="M379" s="14" t="n"/>
      <c r="N379" s="6" t="n"/>
      <c r="O379" s="14" t="n"/>
      <c r="P379" s="4" t="n"/>
      <c r="Q379" s="15">
        <f>IF($E379="","",ROUND(('Settings'!$B$6-$E379)/30.4375,1))</f>
        <v/>
      </c>
      <c r="R379" s="16">
        <f>IF(OR($E379="",N($F379)=0),"",$Q379/$F379)</f>
        <v/>
      </c>
      <c r="S379" s="16">
        <f>IF(N($K379)=0,"",N($J379)/$K379)</f>
        <v/>
      </c>
      <c r="T379" s="17">
        <f>IF(OR($H379="",$G379=""),"",$H379+$G379*7)</f>
        <v/>
      </c>
      <c r="U379" s="9">
        <f>IF(OR($A379="",NOT(OR($P379="Active",$P379="Retention"))),"",IF(AND($I379&lt;&gt;"",$I379&gt;='Settings'!$B$6),"Booked",IF($T379="","",IF('Settings'!$B$6&gt;$T379+'Settings'!$B$7,"Overdue",IF($T379&lt;='Settings'!$B$6+7,"Due this week","On schedule")))))</f>
        <v/>
      </c>
      <c r="V379" s="15">
        <f>IF(OR($L379="",N($N379)=0),"",($L379-N($M379))/$N379)</f>
        <v/>
      </c>
      <c r="W379" s="15">
        <f>IF(OR($L379="",$E379=""),"",MIN($L379,N($M379)+N($V379)*MIN(N($N379),MAX(0,((YEAR('Settings'!$B$6)-YEAR($E379))*12+MONTH('Settings'!$B$6)-MONTH($E379)-IF(DAY('Settings'!$B$6)&lt;DAY($E379),1,0))))))</f>
        <v/>
      </c>
      <c r="X379" s="15">
        <f>IF($L379="","",$L379-N($O379))</f>
        <v/>
      </c>
      <c r="Y379" s="15">
        <f>IF($W379="","",MAX(0,$W379-N($O379)))</f>
        <v/>
      </c>
      <c r="Z379" s="9">
        <f>IF(OR($A379="",$L379=""),"",IF($X379&lt;=0,"Paid in full",IF($Y379&lt;1,"On track",IF($Y379&lt;=$V379,"1 instalment behind","Behind"))))</f>
        <v/>
      </c>
      <c r="AA379" s="18">
        <f>IF($U379="Overdue",COUNTIF($U$3:$U379,"Overdue"),"")</f>
        <v/>
      </c>
    </row>
    <row r="380">
      <c r="A380" s="4" t="n"/>
      <c r="B380" s="4" t="n"/>
      <c r="C380" s="4" t="n"/>
      <c r="D380" s="4" t="n"/>
      <c r="E380" s="5" t="n"/>
      <c r="F380" s="6" t="n"/>
      <c r="G380" s="6" t="n"/>
      <c r="H380" s="5" t="n"/>
      <c r="I380" s="5" t="n"/>
      <c r="J380" s="6" t="n"/>
      <c r="K380" s="6" t="n"/>
      <c r="L380" s="14" t="n"/>
      <c r="M380" s="14" t="n"/>
      <c r="N380" s="6" t="n"/>
      <c r="O380" s="14" t="n"/>
      <c r="P380" s="4" t="n"/>
      <c r="Q380" s="15">
        <f>IF($E380="","",ROUND(('Settings'!$B$6-$E380)/30.4375,1))</f>
        <v/>
      </c>
      <c r="R380" s="16">
        <f>IF(OR($E380="",N($F380)=0),"",$Q380/$F380)</f>
        <v/>
      </c>
      <c r="S380" s="16">
        <f>IF(N($K380)=0,"",N($J380)/$K380)</f>
        <v/>
      </c>
      <c r="T380" s="17">
        <f>IF(OR($H380="",$G380=""),"",$H380+$G380*7)</f>
        <v/>
      </c>
      <c r="U380" s="9">
        <f>IF(OR($A380="",NOT(OR($P380="Active",$P380="Retention"))),"",IF(AND($I380&lt;&gt;"",$I380&gt;='Settings'!$B$6),"Booked",IF($T380="","",IF('Settings'!$B$6&gt;$T380+'Settings'!$B$7,"Overdue",IF($T380&lt;='Settings'!$B$6+7,"Due this week","On schedule")))))</f>
        <v/>
      </c>
      <c r="V380" s="15">
        <f>IF(OR($L380="",N($N380)=0),"",($L380-N($M380))/$N380)</f>
        <v/>
      </c>
      <c r="W380" s="15">
        <f>IF(OR($L380="",$E380=""),"",MIN($L380,N($M380)+N($V380)*MIN(N($N380),MAX(0,((YEAR('Settings'!$B$6)-YEAR($E380))*12+MONTH('Settings'!$B$6)-MONTH($E380)-IF(DAY('Settings'!$B$6)&lt;DAY($E380),1,0))))))</f>
        <v/>
      </c>
      <c r="X380" s="15">
        <f>IF($L380="","",$L380-N($O380))</f>
        <v/>
      </c>
      <c r="Y380" s="15">
        <f>IF($W380="","",MAX(0,$W380-N($O380)))</f>
        <v/>
      </c>
      <c r="Z380" s="9">
        <f>IF(OR($A380="",$L380=""),"",IF($X380&lt;=0,"Paid in full",IF($Y380&lt;1,"On track",IF($Y380&lt;=$V380,"1 instalment behind","Behind"))))</f>
        <v/>
      </c>
      <c r="AA380" s="18">
        <f>IF($U380="Overdue",COUNTIF($U$3:$U380,"Overdue"),"")</f>
        <v/>
      </c>
    </row>
    <row r="381">
      <c r="A381" s="4" t="n"/>
      <c r="B381" s="4" t="n"/>
      <c r="C381" s="4" t="n"/>
      <c r="D381" s="4" t="n"/>
      <c r="E381" s="5" t="n"/>
      <c r="F381" s="6" t="n"/>
      <c r="G381" s="6" t="n"/>
      <c r="H381" s="5" t="n"/>
      <c r="I381" s="5" t="n"/>
      <c r="J381" s="6" t="n"/>
      <c r="K381" s="6" t="n"/>
      <c r="L381" s="14" t="n"/>
      <c r="M381" s="14" t="n"/>
      <c r="N381" s="6" t="n"/>
      <c r="O381" s="14" t="n"/>
      <c r="P381" s="4" t="n"/>
      <c r="Q381" s="15">
        <f>IF($E381="","",ROUND(('Settings'!$B$6-$E381)/30.4375,1))</f>
        <v/>
      </c>
      <c r="R381" s="16">
        <f>IF(OR($E381="",N($F381)=0),"",$Q381/$F381)</f>
        <v/>
      </c>
      <c r="S381" s="16">
        <f>IF(N($K381)=0,"",N($J381)/$K381)</f>
        <v/>
      </c>
      <c r="T381" s="17">
        <f>IF(OR($H381="",$G381=""),"",$H381+$G381*7)</f>
        <v/>
      </c>
      <c r="U381" s="9">
        <f>IF(OR($A381="",NOT(OR($P381="Active",$P381="Retention"))),"",IF(AND($I381&lt;&gt;"",$I381&gt;='Settings'!$B$6),"Booked",IF($T381="","",IF('Settings'!$B$6&gt;$T381+'Settings'!$B$7,"Overdue",IF($T381&lt;='Settings'!$B$6+7,"Due this week","On schedule")))))</f>
        <v/>
      </c>
      <c r="V381" s="15">
        <f>IF(OR($L381="",N($N381)=0),"",($L381-N($M381))/$N381)</f>
        <v/>
      </c>
      <c r="W381" s="15">
        <f>IF(OR($L381="",$E381=""),"",MIN($L381,N($M381)+N($V381)*MIN(N($N381),MAX(0,((YEAR('Settings'!$B$6)-YEAR($E381))*12+MONTH('Settings'!$B$6)-MONTH($E381)-IF(DAY('Settings'!$B$6)&lt;DAY($E381),1,0))))))</f>
        <v/>
      </c>
      <c r="X381" s="15">
        <f>IF($L381="","",$L381-N($O381))</f>
        <v/>
      </c>
      <c r="Y381" s="15">
        <f>IF($W381="","",MAX(0,$W381-N($O381)))</f>
        <v/>
      </c>
      <c r="Z381" s="9">
        <f>IF(OR($A381="",$L381=""),"",IF($X381&lt;=0,"Paid in full",IF($Y381&lt;1,"On track",IF($Y381&lt;=$V381,"1 instalment behind","Behind"))))</f>
        <v/>
      </c>
      <c r="AA381" s="18">
        <f>IF($U381="Overdue",COUNTIF($U$3:$U381,"Overdue"),"")</f>
        <v/>
      </c>
    </row>
    <row r="382">
      <c r="A382" s="4" t="n"/>
      <c r="B382" s="4" t="n"/>
      <c r="C382" s="4" t="n"/>
      <c r="D382" s="4" t="n"/>
      <c r="E382" s="5" t="n"/>
      <c r="F382" s="6" t="n"/>
      <c r="G382" s="6" t="n"/>
      <c r="H382" s="5" t="n"/>
      <c r="I382" s="5" t="n"/>
      <c r="J382" s="6" t="n"/>
      <c r="K382" s="6" t="n"/>
      <c r="L382" s="14" t="n"/>
      <c r="M382" s="14" t="n"/>
      <c r="N382" s="6" t="n"/>
      <c r="O382" s="14" t="n"/>
      <c r="P382" s="4" t="n"/>
      <c r="Q382" s="15">
        <f>IF($E382="","",ROUND(('Settings'!$B$6-$E382)/30.4375,1))</f>
        <v/>
      </c>
      <c r="R382" s="16">
        <f>IF(OR($E382="",N($F382)=0),"",$Q382/$F382)</f>
        <v/>
      </c>
      <c r="S382" s="16">
        <f>IF(N($K382)=0,"",N($J382)/$K382)</f>
        <v/>
      </c>
      <c r="T382" s="17">
        <f>IF(OR($H382="",$G382=""),"",$H382+$G382*7)</f>
        <v/>
      </c>
      <c r="U382" s="9">
        <f>IF(OR($A382="",NOT(OR($P382="Active",$P382="Retention"))),"",IF(AND($I382&lt;&gt;"",$I382&gt;='Settings'!$B$6),"Booked",IF($T382="","",IF('Settings'!$B$6&gt;$T382+'Settings'!$B$7,"Overdue",IF($T382&lt;='Settings'!$B$6+7,"Due this week","On schedule")))))</f>
        <v/>
      </c>
      <c r="V382" s="15">
        <f>IF(OR($L382="",N($N382)=0),"",($L382-N($M382))/$N382)</f>
        <v/>
      </c>
      <c r="W382" s="15">
        <f>IF(OR($L382="",$E382=""),"",MIN($L382,N($M382)+N($V382)*MIN(N($N382),MAX(0,((YEAR('Settings'!$B$6)-YEAR($E382))*12+MONTH('Settings'!$B$6)-MONTH($E382)-IF(DAY('Settings'!$B$6)&lt;DAY($E382),1,0))))))</f>
        <v/>
      </c>
      <c r="X382" s="15">
        <f>IF($L382="","",$L382-N($O382))</f>
        <v/>
      </c>
      <c r="Y382" s="15">
        <f>IF($W382="","",MAX(0,$W382-N($O382)))</f>
        <v/>
      </c>
      <c r="Z382" s="9">
        <f>IF(OR($A382="",$L382=""),"",IF($X382&lt;=0,"Paid in full",IF($Y382&lt;1,"On track",IF($Y382&lt;=$V382,"1 instalment behind","Behind"))))</f>
        <v/>
      </c>
      <c r="AA382" s="18">
        <f>IF($U382="Overdue",COUNTIF($U$3:$U382,"Overdue"),"")</f>
        <v/>
      </c>
    </row>
    <row r="383">
      <c r="A383" s="4" t="n"/>
      <c r="B383" s="4" t="n"/>
      <c r="C383" s="4" t="n"/>
      <c r="D383" s="4" t="n"/>
      <c r="E383" s="5" t="n"/>
      <c r="F383" s="6" t="n"/>
      <c r="G383" s="6" t="n"/>
      <c r="H383" s="5" t="n"/>
      <c r="I383" s="5" t="n"/>
      <c r="J383" s="6" t="n"/>
      <c r="K383" s="6" t="n"/>
      <c r="L383" s="14" t="n"/>
      <c r="M383" s="14" t="n"/>
      <c r="N383" s="6" t="n"/>
      <c r="O383" s="14" t="n"/>
      <c r="P383" s="4" t="n"/>
      <c r="Q383" s="15">
        <f>IF($E383="","",ROUND(('Settings'!$B$6-$E383)/30.4375,1))</f>
        <v/>
      </c>
      <c r="R383" s="16">
        <f>IF(OR($E383="",N($F383)=0),"",$Q383/$F383)</f>
        <v/>
      </c>
      <c r="S383" s="16">
        <f>IF(N($K383)=0,"",N($J383)/$K383)</f>
        <v/>
      </c>
      <c r="T383" s="17">
        <f>IF(OR($H383="",$G383=""),"",$H383+$G383*7)</f>
        <v/>
      </c>
      <c r="U383" s="9">
        <f>IF(OR($A383="",NOT(OR($P383="Active",$P383="Retention"))),"",IF(AND($I383&lt;&gt;"",$I383&gt;='Settings'!$B$6),"Booked",IF($T383="","",IF('Settings'!$B$6&gt;$T383+'Settings'!$B$7,"Overdue",IF($T383&lt;='Settings'!$B$6+7,"Due this week","On schedule")))))</f>
        <v/>
      </c>
      <c r="V383" s="15">
        <f>IF(OR($L383="",N($N383)=0),"",($L383-N($M383))/$N383)</f>
        <v/>
      </c>
      <c r="W383" s="15">
        <f>IF(OR($L383="",$E383=""),"",MIN($L383,N($M383)+N($V383)*MIN(N($N383),MAX(0,((YEAR('Settings'!$B$6)-YEAR($E383))*12+MONTH('Settings'!$B$6)-MONTH($E383)-IF(DAY('Settings'!$B$6)&lt;DAY($E383),1,0))))))</f>
        <v/>
      </c>
      <c r="X383" s="15">
        <f>IF($L383="","",$L383-N($O383))</f>
        <v/>
      </c>
      <c r="Y383" s="15">
        <f>IF($W383="","",MAX(0,$W383-N($O383)))</f>
        <v/>
      </c>
      <c r="Z383" s="9">
        <f>IF(OR($A383="",$L383=""),"",IF($X383&lt;=0,"Paid in full",IF($Y383&lt;1,"On track",IF($Y383&lt;=$V383,"1 instalment behind","Behind"))))</f>
        <v/>
      </c>
      <c r="AA383" s="18">
        <f>IF($U383="Overdue",COUNTIF($U$3:$U383,"Overdue"),"")</f>
        <v/>
      </c>
    </row>
    <row r="384">
      <c r="A384" s="4" t="n"/>
      <c r="B384" s="4" t="n"/>
      <c r="C384" s="4" t="n"/>
      <c r="D384" s="4" t="n"/>
      <c r="E384" s="5" t="n"/>
      <c r="F384" s="6" t="n"/>
      <c r="G384" s="6" t="n"/>
      <c r="H384" s="5" t="n"/>
      <c r="I384" s="5" t="n"/>
      <c r="J384" s="6" t="n"/>
      <c r="K384" s="6" t="n"/>
      <c r="L384" s="14" t="n"/>
      <c r="M384" s="14" t="n"/>
      <c r="N384" s="6" t="n"/>
      <c r="O384" s="14" t="n"/>
      <c r="P384" s="4" t="n"/>
      <c r="Q384" s="15">
        <f>IF($E384="","",ROUND(('Settings'!$B$6-$E384)/30.4375,1))</f>
        <v/>
      </c>
      <c r="R384" s="16">
        <f>IF(OR($E384="",N($F384)=0),"",$Q384/$F384)</f>
        <v/>
      </c>
      <c r="S384" s="16">
        <f>IF(N($K384)=0,"",N($J384)/$K384)</f>
        <v/>
      </c>
      <c r="T384" s="17">
        <f>IF(OR($H384="",$G384=""),"",$H384+$G384*7)</f>
        <v/>
      </c>
      <c r="U384" s="9">
        <f>IF(OR($A384="",NOT(OR($P384="Active",$P384="Retention"))),"",IF(AND($I384&lt;&gt;"",$I384&gt;='Settings'!$B$6),"Booked",IF($T384="","",IF('Settings'!$B$6&gt;$T384+'Settings'!$B$7,"Overdue",IF($T384&lt;='Settings'!$B$6+7,"Due this week","On schedule")))))</f>
        <v/>
      </c>
      <c r="V384" s="15">
        <f>IF(OR($L384="",N($N384)=0),"",($L384-N($M384))/$N384)</f>
        <v/>
      </c>
      <c r="W384" s="15">
        <f>IF(OR($L384="",$E384=""),"",MIN($L384,N($M384)+N($V384)*MIN(N($N384),MAX(0,((YEAR('Settings'!$B$6)-YEAR($E384))*12+MONTH('Settings'!$B$6)-MONTH($E384)-IF(DAY('Settings'!$B$6)&lt;DAY($E384),1,0))))))</f>
        <v/>
      </c>
      <c r="X384" s="15">
        <f>IF($L384="","",$L384-N($O384))</f>
        <v/>
      </c>
      <c r="Y384" s="15">
        <f>IF($W384="","",MAX(0,$W384-N($O384)))</f>
        <v/>
      </c>
      <c r="Z384" s="9">
        <f>IF(OR($A384="",$L384=""),"",IF($X384&lt;=0,"Paid in full",IF($Y384&lt;1,"On track",IF($Y384&lt;=$V384,"1 instalment behind","Behind"))))</f>
        <v/>
      </c>
      <c r="AA384" s="18">
        <f>IF($U384="Overdue",COUNTIF($U$3:$U384,"Overdue"),"")</f>
        <v/>
      </c>
    </row>
    <row r="385">
      <c r="A385" s="4" t="n"/>
      <c r="B385" s="4" t="n"/>
      <c r="C385" s="4" t="n"/>
      <c r="D385" s="4" t="n"/>
      <c r="E385" s="5" t="n"/>
      <c r="F385" s="6" t="n"/>
      <c r="G385" s="6" t="n"/>
      <c r="H385" s="5" t="n"/>
      <c r="I385" s="5" t="n"/>
      <c r="J385" s="6" t="n"/>
      <c r="K385" s="6" t="n"/>
      <c r="L385" s="14" t="n"/>
      <c r="M385" s="14" t="n"/>
      <c r="N385" s="6" t="n"/>
      <c r="O385" s="14" t="n"/>
      <c r="P385" s="4" t="n"/>
      <c r="Q385" s="15">
        <f>IF($E385="","",ROUND(('Settings'!$B$6-$E385)/30.4375,1))</f>
        <v/>
      </c>
      <c r="R385" s="16">
        <f>IF(OR($E385="",N($F385)=0),"",$Q385/$F385)</f>
        <v/>
      </c>
      <c r="S385" s="16">
        <f>IF(N($K385)=0,"",N($J385)/$K385)</f>
        <v/>
      </c>
      <c r="T385" s="17">
        <f>IF(OR($H385="",$G385=""),"",$H385+$G385*7)</f>
        <v/>
      </c>
      <c r="U385" s="9">
        <f>IF(OR($A385="",NOT(OR($P385="Active",$P385="Retention"))),"",IF(AND($I385&lt;&gt;"",$I385&gt;='Settings'!$B$6),"Booked",IF($T385="","",IF('Settings'!$B$6&gt;$T385+'Settings'!$B$7,"Overdue",IF($T385&lt;='Settings'!$B$6+7,"Due this week","On schedule")))))</f>
        <v/>
      </c>
      <c r="V385" s="15">
        <f>IF(OR($L385="",N($N385)=0),"",($L385-N($M385))/$N385)</f>
        <v/>
      </c>
      <c r="W385" s="15">
        <f>IF(OR($L385="",$E385=""),"",MIN($L385,N($M385)+N($V385)*MIN(N($N385),MAX(0,((YEAR('Settings'!$B$6)-YEAR($E385))*12+MONTH('Settings'!$B$6)-MONTH($E385)-IF(DAY('Settings'!$B$6)&lt;DAY($E385),1,0))))))</f>
        <v/>
      </c>
      <c r="X385" s="15">
        <f>IF($L385="","",$L385-N($O385))</f>
        <v/>
      </c>
      <c r="Y385" s="15">
        <f>IF($W385="","",MAX(0,$W385-N($O385)))</f>
        <v/>
      </c>
      <c r="Z385" s="9">
        <f>IF(OR($A385="",$L385=""),"",IF($X385&lt;=0,"Paid in full",IF($Y385&lt;1,"On track",IF($Y385&lt;=$V385,"1 instalment behind","Behind"))))</f>
        <v/>
      </c>
      <c r="AA385" s="18">
        <f>IF($U385="Overdue",COUNTIF($U$3:$U385,"Overdue"),"")</f>
        <v/>
      </c>
    </row>
    <row r="386">
      <c r="A386" s="4" t="n"/>
      <c r="B386" s="4" t="n"/>
      <c r="C386" s="4" t="n"/>
      <c r="D386" s="4" t="n"/>
      <c r="E386" s="5" t="n"/>
      <c r="F386" s="6" t="n"/>
      <c r="G386" s="6" t="n"/>
      <c r="H386" s="5" t="n"/>
      <c r="I386" s="5" t="n"/>
      <c r="J386" s="6" t="n"/>
      <c r="K386" s="6" t="n"/>
      <c r="L386" s="14" t="n"/>
      <c r="M386" s="14" t="n"/>
      <c r="N386" s="6" t="n"/>
      <c r="O386" s="14" t="n"/>
      <c r="P386" s="4" t="n"/>
      <c r="Q386" s="15">
        <f>IF($E386="","",ROUND(('Settings'!$B$6-$E386)/30.4375,1))</f>
        <v/>
      </c>
      <c r="R386" s="16">
        <f>IF(OR($E386="",N($F386)=0),"",$Q386/$F386)</f>
        <v/>
      </c>
      <c r="S386" s="16">
        <f>IF(N($K386)=0,"",N($J386)/$K386)</f>
        <v/>
      </c>
      <c r="T386" s="17">
        <f>IF(OR($H386="",$G386=""),"",$H386+$G386*7)</f>
        <v/>
      </c>
      <c r="U386" s="9">
        <f>IF(OR($A386="",NOT(OR($P386="Active",$P386="Retention"))),"",IF(AND($I386&lt;&gt;"",$I386&gt;='Settings'!$B$6),"Booked",IF($T386="","",IF('Settings'!$B$6&gt;$T386+'Settings'!$B$7,"Overdue",IF($T386&lt;='Settings'!$B$6+7,"Due this week","On schedule")))))</f>
        <v/>
      </c>
      <c r="V386" s="15">
        <f>IF(OR($L386="",N($N386)=0),"",($L386-N($M386))/$N386)</f>
        <v/>
      </c>
      <c r="W386" s="15">
        <f>IF(OR($L386="",$E386=""),"",MIN($L386,N($M386)+N($V386)*MIN(N($N386),MAX(0,((YEAR('Settings'!$B$6)-YEAR($E386))*12+MONTH('Settings'!$B$6)-MONTH($E386)-IF(DAY('Settings'!$B$6)&lt;DAY($E386),1,0))))))</f>
        <v/>
      </c>
      <c r="X386" s="15">
        <f>IF($L386="","",$L386-N($O386))</f>
        <v/>
      </c>
      <c r="Y386" s="15">
        <f>IF($W386="","",MAX(0,$W386-N($O386)))</f>
        <v/>
      </c>
      <c r="Z386" s="9">
        <f>IF(OR($A386="",$L386=""),"",IF($X386&lt;=0,"Paid in full",IF($Y386&lt;1,"On track",IF($Y386&lt;=$V386,"1 instalment behind","Behind"))))</f>
        <v/>
      </c>
      <c r="AA386" s="18">
        <f>IF($U386="Overdue",COUNTIF($U$3:$U386,"Overdue"),"")</f>
        <v/>
      </c>
    </row>
    <row r="387">
      <c r="A387" s="4" t="n"/>
      <c r="B387" s="4" t="n"/>
      <c r="C387" s="4" t="n"/>
      <c r="D387" s="4" t="n"/>
      <c r="E387" s="5" t="n"/>
      <c r="F387" s="6" t="n"/>
      <c r="G387" s="6" t="n"/>
      <c r="H387" s="5" t="n"/>
      <c r="I387" s="5" t="n"/>
      <c r="J387" s="6" t="n"/>
      <c r="K387" s="6" t="n"/>
      <c r="L387" s="14" t="n"/>
      <c r="M387" s="14" t="n"/>
      <c r="N387" s="6" t="n"/>
      <c r="O387" s="14" t="n"/>
      <c r="P387" s="4" t="n"/>
      <c r="Q387" s="15">
        <f>IF($E387="","",ROUND(('Settings'!$B$6-$E387)/30.4375,1))</f>
        <v/>
      </c>
      <c r="R387" s="16">
        <f>IF(OR($E387="",N($F387)=0),"",$Q387/$F387)</f>
        <v/>
      </c>
      <c r="S387" s="16">
        <f>IF(N($K387)=0,"",N($J387)/$K387)</f>
        <v/>
      </c>
      <c r="T387" s="17">
        <f>IF(OR($H387="",$G387=""),"",$H387+$G387*7)</f>
        <v/>
      </c>
      <c r="U387" s="9">
        <f>IF(OR($A387="",NOT(OR($P387="Active",$P387="Retention"))),"",IF(AND($I387&lt;&gt;"",$I387&gt;='Settings'!$B$6),"Booked",IF($T387="","",IF('Settings'!$B$6&gt;$T387+'Settings'!$B$7,"Overdue",IF($T387&lt;='Settings'!$B$6+7,"Due this week","On schedule")))))</f>
        <v/>
      </c>
      <c r="V387" s="15">
        <f>IF(OR($L387="",N($N387)=0),"",($L387-N($M387))/$N387)</f>
        <v/>
      </c>
      <c r="W387" s="15">
        <f>IF(OR($L387="",$E387=""),"",MIN($L387,N($M387)+N($V387)*MIN(N($N387),MAX(0,((YEAR('Settings'!$B$6)-YEAR($E387))*12+MONTH('Settings'!$B$6)-MONTH($E387)-IF(DAY('Settings'!$B$6)&lt;DAY($E387),1,0))))))</f>
        <v/>
      </c>
      <c r="X387" s="15">
        <f>IF($L387="","",$L387-N($O387))</f>
        <v/>
      </c>
      <c r="Y387" s="15">
        <f>IF($W387="","",MAX(0,$W387-N($O387)))</f>
        <v/>
      </c>
      <c r="Z387" s="9">
        <f>IF(OR($A387="",$L387=""),"",IF($X387&lt;=0,"Paid in full",IF($Y387&lt;1,"On track",IF($Y387&lt;=$V387,"1 instalment behind","Behind"))))</f>
        <v/>
      </c>
      <c r="AA387" s="18">
        <f>IF($U387="Overdue",COUNTIF($U$3:$U387,"Overdue"),"")</f>
        <v/>
      </c>
    </row>
    <row r="388">
      <c r="A388" s="4" t="n"/>
      <c r="B388" s="4" t="n"/>
      <c r="C388" s="4" t="n"/>
      <c r="D388" s="4" t="n"/>
      <c r="E388" s="5" t="n"/>
      <c r="F388" s="6" t="n"/>
      <c r="G388" s="6" t="n"/>
      <c r="H388" s="5" t="n"/>
      <c r="I388" s="5" t="n"/>
      <c r="J388" s="6" t="n"/>
      <c r="K388" s="6" t="n"/>
      <c r="L388" s="14" t="n"/>
      <c r="M388" s="14" t="n"/>
      <c r="N388" s="6" t="n"/>
      <c r="O388" s="14" t="n"/>
      <c r="P388" s="4" t="n"/>
      <c r="Q388" s="15">
        <f>IF($E388="","",ROUND(('Settings'!$B$6-$E388)/30.4375,1))</f>
        <v/>
      </c>
      <c r="R388" s="16">
        <f>IF(OR($E388="",N($F388)=0),"",$Q388/$F388)</f>
        <v/>
      </c>
      <c r="S388" s="16">
        <f>IF(N($K388)=0,"",N($J388)/$K388)</f>
        <v/>
      </c>
      <c r="T388" s="17">
        <f>IF(OR($H388="",$G388=""),"",$H388+$G388*7)</f>
        <v/>
      </c>
      <c r="U388" s="9">
        <f>IF(OR($A388="",NOT(OR($P388="Active",$P388="Retention"))),"",IF(AND($I388&lt;&gt;"",$I388&gt;='Settings'!$B$6),"Booked",IF($T388="","",IF('Settings'!$B$6&gt;$T388+'Settings'!$B$7,"Overdue",IF($T388&lt;='Settings'!$B$6+7,"Due this week","On schedule")))))</f>
        <v/>
      </c>
      <c r="V388" s="15">
        <f>IF(OR($L388="",N($N388)=0),"",($L388-N($M388))/$N388)</f>
        <v/>
      </c>
      <c r="W388" s="15">
        <f>IF(OR($L388="",$E388=""),"",MIN($L388,N($M388)+N($V388)*MIN(N($N388),MAX(0,((YEAR('Settings'!$B$6)-YEAR($E388))*12+MONTH('Settings'!$B$6)-MONTH($E388)-IF(DAY('Settings'!$B$6)&lt;DAY($E388),1,0))))))</f>
        <v/>
      </c>
      <c r="X388" s="15">
        <f>IF($L388="","",$L388-N($O388))</f>
        <v/>
      </c>
      <c r="Y388" s="15">
        <f>IF($W388="","",MAX(0,$W388-N($O388)))</f>
        <v/>
      </c>
      <c r="Z388" s="9">
        <f>IF(OR($A388="",$L388=""),"",IF($X388&lt;=0,"Paid in full",IF($Y388&lt;1,"On track",IF($Y388&lt;=$V388,"1 instalment behind","Behind"))))</f>
        <v/>
      </c>
      <c r="AA388" s="18">
        <f>IF($U388="Overdue",COUNTIF($U$3:$U388,"Overdue"),"")</f>
        <v/>
      </c>
    </row>
    <row r="389">
      <c r="A389" s="4" t="n"/>
      <c r="B389" s="4" t="n"/>
      <c r="C389" s="4" t="n"/>
      <c r="D389" s="4" t="n"/>
      <c r="E389" s="5" t="n"/>
      <c r="F389" s="6" t="n"/>
      <c r="G389" s="6" t="n"/>
      <c r="H389" s="5" t="n"/>
      <c r="I389" s="5" t="n"/>
      <c r="J389" s="6" t="n"/>
      <c r="K389" s="6" t="n"/>
      <c r="L389" s="14" t="n"/>
      <c r="M389" s="14" t="n"/>
      <c r="N389" s="6" t="n"/>
      <c r="O389" s="14" t="n"/>
      <c r="P389" s="4" t="n"/>
      <c r="Q389" s="15">
        <f>IF($E389="","",ROUND(('Settings'!$B$6-$E389)/30.4375,1))</f>
        <v/>
      </c>
      <c r="R389" s="16">
        <f>IF(OR($E389="",N($F389)=0),"",$Q389/$F389)</f>
        <v/>
      </c>
      <c r="S389" s="16">
        <f>IF(N($K389)=0,"",N($J389)/$K389)</f>
        <v/>
      </c>
      <c r="T389" s="17">
        <f>IF(OR($H389="",$G389=""),"",$H389+$G389*7)</f>
        <v/>
      </c>
      <c r="U389" s="9">
        <f>IF(OR($A389="",NOT(OR($P389="Active",$P389="Retention"))),"",IF(AND($I389&lt;&gt;"",$I389&gt;='Settings'!$B$6),"Booked",IF($T389="","",IF('Settings'!$B$6&gt;$T389+'Settings'!$B$7,"Overdue",IF($T389&lt;='Settings'!$B$6+7,"Due this week","On schedule")))))</f>
        <v/>
      </c>
      <c r="V389" s="15">
        <f>IF(OR($L389="",N($N389)=0),"",($L389-N($M389))/$N389)</f>
        <v/>
      </c>
      <c r="W389" s="15">
        <f>IF(OR($L389="",$E389=""),"",MIN($L389,N($M389)+N($V389)*MIN(N($N389),MAX(0,((YEAR('Settings'!$B$6)-YEAR($E389))*12+MONTH('Settings'!$B$6)-MONTH($E389)-IF(DAY('Settings'!$B$6)&lt;DAY($E389),1,0))))))</f>
        <v/>
      </c>
      <c r="X389" s="15">
        <f>IF($L389="","",$L389-N($O389))</f>
        <v/>
      </c>
      <c r="Y389" s="15">
        <f>IF($W389="","",MAX(0,$W389-N($O389)))</f>
        <v/>
      </c>
      <c r="Z389" s="9">
        <f>IF(OR($A389="",$L389=""),"",IF($X389&lt;=0,"Paid in full",IF($Y389&lt;1,"On track",IF($Y389&lt;=$V389,"1 instalment behind","Behind"))))</f>
        <v/>
      </c>
      <c r="AA389" s="18">
        <f>IF($U389="Overdue",COUNTIF($U$3:$U389,"Overdue"),"")</f>
        <v/>
      </c>
    </row>
    <row r="390">
      <c r="A390" s="4" t="n"/>
      <c r="B390" s="4" t="n"/>
      <c r="C390" s="4" t="n"/>
      <c r="D390" s="4" t="n"/>
      <c r="E390" s="5" t="n"/>
      <c r="F390" s="6" t="n"/>
      <c r="G390" s="6" t="n"/>
      <c r="H390" s="5" t="n"/>
      <c r="I390" s="5" t="n"/>
      <c r="J390" s="6" t="n"/>
      <c r="K390" s="6" t="n"/>
      <c r="L390" s="14" t="n"/>
      <c r="M390" s="14" t="n"/>
      <c r="N390" s="6" t="n"/>
      <c r="O390" s="14" t="n"/>
      <c r="P390" s="4" t="n"/>
      <c r="Q390" s="15">
        <f>IF($E390="","",ROUND(('Settings'!$B$6-$E390)/30.4375,1))</f>
        <v/>
      </c>
      <c r="R390" s="16">
        <f>IF(OR($E390="",N($F390)=0),"",$Q390/$F390)</f>
        <v/>
      </c>
      <c r="S390" s="16">
        <f>IF(N($K390)=0,"",N($J390)/$K390)</f>
        <v/>
      </c>
      <c r="T390" s="17">
        <f>IF(OR($H390="",$G390=""),"",$H390+$G390*7)</f>
        <v/>
      </c>
      <c r="U390" s="9">
        <f>IF(OR($A390="",NOT(OR($P390="Active",$P390="Retention"))),"",IF(AND($I390&lt;&gt;"",$I390&gt;='Settings'!$B$6),"Booked",IF($T390="","",IF('Settings'!$B$6&gt;$T390+'Settings'!$B$7,"Overdue",IF($T390&lt;='Settings'!$B$6+7,"Due this week","On schedule")))))</f>
        <v/>
      </c>
      <c r="V390" s="15">
        <f>IF(OR($L390="",N($N390)=0),"",($L390-N($M390))/$N390)</f>
        <v/>
      </c>
      <c r="W390" s="15">
        <f>IF(OR($L390="",$E390=""),"",MIN($L390,N($M390)+N($V390)*MIN(N($N390),MAX(0,((YEAR('Settings'!$B$6)-YEAR($E390))*12+MONTH('Settings'!$B$6)-MONTH($E390)-IF(DAY('Settings'!$B$6)&lt;DAY($E390),1,0))))))</f>
        <v/>
      </c>
      <c r="X390" s="15">
        <f>IF($L390="","",$L390-N($O390))</f>
        <v/>
      </c>
      <c r="Y390" s="15">
        <f>IF($W390="","",MAX(0,$W390-N($O390)))</f>
        <v/>
      </c>
      <c r="Z390" s="9">
        <f>IF(OR($A390="",$L390=""),"",IF($X390&lt;=0,"Paid in full",IF($Y390&lt;1,"On track",IF($Y390&lt;=$V390,"1 instalment behind","Behind"))))</f>
        <v/>
      </c>
      <c r="AA390" s="18">
        <f>IF($U390="Overdue",COUNTIF($U$3:$U390,"Overdue"),"")</f>
        <v/>
      </c>
    </row>
    <row r="391">
      <c r="A391" s="4" t="n"/>
      <c r="B391" s="4" t="n"/>
      <c r="C391" s="4" t="n"/>
      <c r="D391" s="4" t="n"/>
      <c r="E391" s="5" t="n"/>
      <c r="F391" s="6" t="n"/>
      <c r="G391" s="6" t="n"/>
      <c r="H391" s="5" t="n"/>
      <c r="I391" s="5" t="n"/>
      <c r="J391" s="6" t="n"/>
      <c r="K391" s="6" t="n"/>
      <c r="L391" s="14" t="n"/>
      <c r="M391" s="14" t="n"/>
      <c r="N391" s="6" t="n"/>
      <c r="O391" s="14" t="n"/>
      <c r="P391" s="4" t="n"/>
      <c r="Q391" s="15">
        <f>IF($E391="","",ROUND(('Settings'!$B$6-$E391)/30.4375,1))</f>
        <v/>
      </c>
      <c r="R391" s="16">
        <f>IF(OR($E391="",N($F391)=0),"",$Q391/$F391)</f>
        <v/>
      </c>
      <c r="S391" s="16">
        <f>IF(N($K391)=0,"",N($J391)/$K391)</f>
        <v/>
      </c>
      <c r="T391" s="17">
        <f>IF(OR($H391="",$G391=""),"",$H391+$G391*7)</f>
        <v/>
      </c>
      <c r="U391" s="9">
        <f>IF(OR($A391="",NOT(OR($P391="Active",$P391="Retention"))),"",IF(AND($I391&lt;&gt;"",$I391&gt;='Settings'!$B$6),"Booked",IF($T391="","",IF('Settings'!$B$6&gt;$T391+'Settings'!$B$7,"Overdue",IF($T391&lt;='Settings'!$B$6+7,"Due this week","On schedule")))))</f>
        <v/>
      </c>
      <c r="V391" s="15">
        <f>IF(OR($L391="",N($N391)=0),"",($L391-N($M391))/$N391)</f>
        <v/>
      </c>
      <c r="W391" s="15">
        <f>IF(OR($L391="",$E391=""),"",MIN($L391,N($M391)+N($V391)*MIN(N($N391),MAX(0,((YEAR('Settings'!$B$6)-YEAR($E391))*12+MONTH('Settings'!$B$6)-MONTH($E391)-IF(DAY('Settings'!$B$6)&lt;DAY($E391),1,0))))))</f>
        <v/>
      </c>
      <c r="X391" s="15">
        <f>IF($L391="","",$L391-N($O391))</f>
        <v/>
      </c>
      <c r="Y391" s="15">
        <f>IF($W391="","",MAX(0,$W391-N($O391)))</f>
        <v/>
      </c>
      <c r="Z391" s="9">
        <f>IF(OR($A391="",$L391=""),"",IF($X391&lt;=0,"Paid in full",IF($Y391&lt;1,"On track",IF($Y391&lt;=$V391,"1 instalment behind","Behind"))))</f>
        <v/>
      </c>
      <c r="AA391" s="18">
        <f>IF($U391="Overdue",COUNTIF($U$3:$U391,"Overdue"),"")</f>
        <v/>
      </c>
    </row>
    <row r="392">
      <c r="A392" s="4" t="n"/>
      <c r="B392" s="4" t="n"/>
      <c r="C392" s="4" t="n"/>
      <c r="D392" s="4" t="n"/>
      <c r="E392" s="5" t="n"/>
      <c r="F392" s="6" t="n"/>
      <c r="G392" s="6" t="n"/>
      <c r="H392" s="5" t="n"/>
      <c r="I392" s="5" t="n"/>
      <c r="J392" s="6" t="n"/>
      <c r="K392" s="6" t="n"/>
      <c r="L392" s="14" t="n"/>
      <c r="M392" s="14" t="n"/>
      <c r="N392" s="6" t="n"/>
      <c r="O392" s="14" t="n"/>
      <c r="P392" s="4" t="n"/>
      <c r="Q392" s="15">
        <f>IF($E392="","",ROUND(('Settings'!$B$6-$E392)/30.4375,1))</f>
        <v/>
      </c>
      <c r="R392" s="16">
        <f>IF(OR($E392="",N($F392)=0),"",$Q392/$F392)</f>
        <v/>
      </c>
      <c r="S392" s="16">
        <f>IF(N($K392)=0,"",N($J392)/$K392)</f>
        <v/>
      </c>
      <c r="T392" s="17">
        <f>IF(OR($H392="",$G392=""),"",$H392+$G392*7)</f>
        <v/>
      </c>
      <c r="U392" s="9">
        <f>IF(OR($A392="",NOT(OR($P392="Active",$P392="Retention"))),"",IF(AND($I392&lt;&gt;"",$I392&gt;='Settings'!$B$6),"Booked",IF($T392="","",IF('Settings'!$B$6&gt;$T392+'Settings'!$B$7,"Overdue",IF($T392&lt;='Settings'!$B$6+7,"Due this week","On schedule")))))</f>
        <v/>
      </c>
      <c r="V392" s="15">
        <f>IF(OR($L392="",N($N392)=0),"",($L392-N($M392))/$N392)</f>
        <v/>
      </c>
      <c r="W392" s="15">
        <f>IF(OR($L392="",$E392=""),"",MIN($L392,N($M392)+N($V392)*MIN(N($N392),MAX(0,((YEAR('Settings'!$B$6)-YEAR($E392))*12+MONTH('Settings'!$B$6)-MONTH($E392)-IF(DAY('Settings'!$B$6)&lt;DAY($E392),1,0))))))</f>
        <v/>
      </c>
      <c r="X392" s="15">
        <f>IF($L392="","",$L392-N($O392))</f>
        <v/>
      </c>
      <c r="Y392" s="15">
        <f>IF($W392="","",MAX(0,$W392-N($O392)))</f>
        <v/>
      </c>
      <c r="Z392" s="9">
        <f>IF(OR($A392="",$L392=""),"",IF($X392&lt;=0,"Paid in full",IF($Y392&lt;1,"On track",IF($Y392&lt;=$V392,"1 instalment behind","Behind"))))</f>
        <v/>
      </c>
      <c r="AA392" s="18">
        <f>IF($U392="Overdue",COUNTIF($U$3:$U392,"Overdue"),"")</f>
        <v/>
      </c>
    </row>
    <row r="393">
      <c r="A393" s="4" t="n"/>
      <c r="B393" s="4" t="n"/>
      <c r="C393" s="4" t="n"/>
      <c r="D393" s="4" t="n"/>
      <c r="E393" s="5" t="n"/>
      <c r="F393" s="6" t="n"/>
      <c r="G393" s="6" t="n"/>
      <c r="H393" s="5" t="n"/>
      <c r="I393" s="5" t="n"/>
      <c r="J393" s="6" t="n"/>
      <c r="K393" s="6" t="n"/>
      <c r="L393" s="14" t="n"/>
      <c r="M393" s="14" t="n"/>
      <c r="N393" s="6" t="n"/>
      <c r="O393" s="14" t="n"/>
      <c r="P393" s="4" t="n"/>
      <c r="Q393" s="15">
        <f>IF($E393="","",ROUND(('Settings'!$B$6-$E393)/30.4375,1))</f>
        <v/>
      </c>
      <c r="R393" s="16">
        <f>IF(OR($E393="",N($F393)=0),"",$Q393/$F393)</f>
        <v/>
      </c>
      <c r="S393" s="16">
        <f>IF(N($K393)=0,"",N($J393)/$K393)</f>
        <v/>
      </c>
      <c r="T393" s="17">
        <f>IF(OR($H393="",$G393=""),"",$H393+$G393*7)</f>
        <v/>
      </c>
      <c r="U393" s="9">
        <f>IF(OR($A393="",NOT(OR($P393="Active",$P393="Retention"))),"",IF(AND($I393&lt;&gt;"",$I393&gt;='Settings'!$B$6),"Booked",IF($T393="","",IF('Settings'!$B$6&gt;$T393+'Settings'!$B$7,"Overdue",IF($T393&lt;='Settings'!$B$6+7,"Due this week","On schedule")))))</f>
        <v/>
      </c>
      <c r="V393" s="15">
        <f>IF(OR($L393="",N($N393)=0),"",($L393-N($M393))/$N393)</f>
        <v/>
      </c>
      <c r="W393" s="15">
        <f>IF(OR($L393="",$E393=""),"",MIN($L393,N($M393)+N($V393)*MIN(N($N393),MAX(0,((YEAR('Settings'!$B$6)-YEAR($E393))*12+MONTH('Settings'!$B$6)-MONTH($E393)-IF(DAY('Settings'!$B$6)&lt;DAY($E393),1,0))))))</f>
        <v/>
      </c>
      <c r="X393" s="15">
        <f>IF($L393="","",$L393-N($O393))</f>
        <v/>
      </c>
      <c r="Y393" s="15">
        <f>IF($W393="","",MAX(0,$W393-N($O393)))</f>
        <v/>
      </c>
      <c r="Z393" s="9">
        <f>IF(OR($A393="",$L393=""),"",IF($X393&lt;=0,"Paid in full",IF($Y393&lt;1,"On track",IF($Y393&lt;=$V393,"1 instalment behind","Behind"))))</f>
        <v/>
      </c>
      <c r="AA393" s="18">
        <f>IF($U393="Overdue",COUNTIF($U$3:$U393,"Overdue"),"")</f>
        <v/>
      </c>
    </row>
    <row r="394">
      <c r="A394" s="4" t="n"/>
      <c r="B394" s="4" t="n"/>
      <c r="C394" s="4" t="n"/>
      <c r="D394" s="4" t="n"/>
      <c r="E394" s="5" t="n"/>
      <c r="F394" s="6" t="n"/>
      <c r="G394" s="6" t="n"/>
      <c r="H394" s="5" t="n"/>
      <c r="I394" s="5" t="n"/>
      <c r="J394" s="6" t="n"/>
      <c r="K394" s="6" t="n"/>
      <c r="L394" s="14" t="n"/>
      <c r="M394" s="14" t="n"/>
      <c r="N394" s="6" t="n"/>
      <c r="O394" s="14" t="n"/>
      <c r="P394" s="4" t="n"/>
      <c r="Q394" s="15">
        <f>IF($E394="","",ROUND(('Settings'!$B$6-$E394)/30.4375,1))</f>
        <v/>
      </c>
      <c r="R394" s="16">
        <f>IF(OR($E394="",N($F394)=0),"",$Q394/$F394)</f>
        <v/>
      </c>
      <c r="S394" s="16">
        <f>IF(N($K394)=0,"",N($J394)/$K394)</f>
        <v/>
      </c>
      <c r="T394" s="17">
        <f>IF(OR($H394="",$G394=""),"",$H394+$G394*7)</f>
        <v/>
      </c>
      <c r="U394" s="9">
        <f>IF(OR($A394="",NOT(OR($P394="Active",$P394="Retention"))),"",IF(AND($I394&lt;&gt;"",$I394&gt;='Settings'!$B$6),"Booked",IF($T394="","",IF('Settings'!$B$6&gt;$T394+'Settings'!$B$7,"Overdue",IF($T394&lt;='Settings'!$B$6+7,"Due this week","On schedule")))))</f>
        <v/>
      </c>
      <c r="V394" s="15">
        <f>IF(OR($L394="",N($N394)=0),"",($L394-N($M394))/$N394)</f>
        <v/>
      </c>
      <c r="W394" s="15">
        <f>IF(OR($L394="",$E394=""),"",MIN($L394,N($M394)+N($V394)*MIN(N($N394),MAX(0,((YEAR('Settings'!$B$6)-YEAR($E394))*12+MONTH('Settings'!$B$6)-MONTH($E394)-IF(DAY('Settings'!$B$6)&lt;DAY($E394),1,0))))))</f>
        <v/>
      </c>
      <c r="X394" s="15">
        <f>IF($L394="","",$L394-N($O394))</f>
        <v/>
      </c>
      <c r="Y394" s="15">
        <f>IF($W394="","",MAX(0,$W394-N($O394)))</f>
        <v/>
      </c>
      <c r="Z394" s="9">
        <f>IF(OR($A394="",$L394=""),"",IF($X394&lt;=0,"Paid in full",IF($Y394&lt;1,"On track",IF($Y394&lt;=$V394,"1 instalment behind","Behind"))))</f>
        <v/>
      </c>
      <c r="AA394" s="18">
        <f>IF($U394="Overdue",COUNTIF($U$3:$U394,"Overdue"),"")</f>
        <v/>
      </c>
    </row>
    <row r="395">
      <c r="A395" s="4" t="n"/>
      <c r="B395" s="4" t="n"/>
      <c r="C395" s="4" t="n"/>
      <c r="D395" s="4" t="n"/>
      <c r="E395" s="5" t="n"/>
      <c r="F395" s="6" t="n"/>
      <c r="G395" s="6" t="n"/>
      <c r="H395" s="5" t="n"/>
      <c r="I395" s="5" t="n"/>
      <c r="J395" s="6" t="n"/>
      <c r="K395" s="6" t="n"/>
      <c r="L395" s="14" t="n"/>
      <c r="M395" s="14" t="n"/>
      <c r="N395" s="6" t="n"/>
      <c r="O395" s="14" t="n"/>
      <c r="P395" s="4" t="n"/>
      <c r="Q395" s="15">
        <f>IF($E395="","",ROUND(('Settings'!$B$6-$E395)/30.4375,1))</f>
        <v/>
      </c>
      <c r="R395" s="16">
        <f>IF(OR($E395="",N($F395)=0),"",$Q395/$F395)</f>
        <v/>
      </c>
      <c r="S395" s="16">
        <f>IF(N($K395)=0,"",N($J395)/$K395)</f>
        <v/>
      </c>
      <c r="T395" s="17">
        <f>IF(OR($H395="",$G395=""),"",$H395+$G395*7)</f>
        <v/>
      </c>
      <c r="U395" s="9">
        <f>IF(OR($A395="",NOT(OR($P395="Active",$P395="Retention"))),"",IF(AND($I395&lt;&gt;"",$I395&gt;='Settings'!$B$6),"Booked",IF($T395="","",IF('Settings'!$B$6&gt;$T395+'Settings'!$B$7,"Overdue",IF($T395&lt;='Settings'!$B$6+7,"Due this week","On schedule")))))</f>
        <v/>
      </c>
      <c r="V395" s="15">
        <f>IF(OR($L395="",N($N395)=0),"",($L395-N($M395))/$N395)</f>
        <v/>
      </c>
      <c r="W395" s="15">
        <f>IF(OR($L395="",$E395=""),"",MIN($L395,N($M395)+N($V395)*MIN(N($N395),MAX(0,((YEAR('Settings'!$B$6)-YEAR($E395))*12+MONTH('Settings'!$B$6)-MONTH($E395)-IF(DAY('Settings'!$B$6)&lt;DAY($E395),1,0))))))</f>
        <v/>
      </c>
      <c r="X395" s="15">
        <f>IF($L395="","",$L395-N($O395))</f>
        <v/>
      </c>
      <c r="Y395" s="15">
        <f>IF($W395="","",MAX(0,$W395-N($O395)))</f>
        <v/>
      </c>
      <c r="Z395" s="9">
        <f>IF(OR($A395="",$L395=""),"",IF($X395&lt;=0,"Paid in full",IF($Y395&lt;1,"On track",IF($Y395&lt;=$V395,"1 instalment behind","Behind"))))</f>
        <v/>
      </c>
      <c r="AA395" s="18">
        <f>IF($U395="Overdue",COUNTIF($U$3:$U395,"Overdue"),"")</f>
        <v/>
      </c>
    </row>
    <row r="396">
      <c r="A396" s="4" t="n"/>
      <c r="B396" s="4" t="n"/>
      <c r="C396" s="4" t="n"/>
      <c r="D396" s="4" t="n"/>
      <c r="E396" s="5" t="n"/>
      <c r="F396" s="6" t="n"/>
      <c r="G396" s="6" t="n"/>
      <c r="H396" s="5" t="n"/>
      <c r="I396" s="5" t="n"/>
      <c r="J396" s="6" t="n"/>
      <c r="K396" s="6" t="n"/>
      <c r="L396" s="14" t="n"/>
      <c r="M396" s="14" t="n"/>
      <c r="N396" s="6" t="n"/>
      <c r="O396" s="14" t="n"/>
      <c r="P396" s="4" t="n"/>
      <c r="Q396" s="15">
        <f>IF($E396="","",ROUND(('Settings'!$B$6-$E396)/30.4375,1))</f>
        <v/>
      </c>
      <c r="R396" s="16">
        <f>IF(OR($E396="",N($F396)=0),"",$Q396/$F396)</f>
        <v/>
      </c>
      <c r="S396" s="16">
        <f>IF(N($K396)=0,"",N($J396)/$K396)</f>
        <v/>
      </c>
      <c r="T396" s="17">
        <f>IF(OR($H396="",$G396=""),"",$H396+$G396*7)</f>
        <v/>
      </c>
      <c r="U396" s="9">
        <f>IF(OR($A396="",NOT(OR($P396="Active",$P396="Retention"))),"",IF(AND($I396&lt;&gt;"",$I396&gt;='Settings'!$B$6),"Booked",IF($T396="","",IF('Settings'!$B$6&gt;$T396+'Settings'!$B$7,"Overdue",IF($T396&lt;='Settings'!$B$6+7,"Due this week","On schedule")))))</f>
        <v/>
      </c>
      <c r="V396" s="15">
        <f>IF(OR($L396="",N($N396)=0),"",($L396-N($M396))/$N396)</f>
        <v/>
      </c>
      <c r="W396" s="15">
        <f>IF(OR($L396="",$E396=""),"",MIN($L396,N($M396)+N($V396)*MIN(N($N396),MAX(0,((YEAR('Settings'!$B$6)-YEAR($E396))*12+MONTH('Settings'!$B$6)-MONTH($E396)-IF(DAY('Settings'!$B$6)&lt;DAY($E396),1,0))))))</f>
        <v/>
      </c>
      <c r="X396" s="15">
        <f>IF($L396="","",$L396-N($O396))</f>
        <v/>
      </c>
      <c r="Y396" s="15">
        <f>IF($W396="","",MAX(0,$W396-N($O396)))</f>
        <v/>
      </c>
      <c r="Z396" s="9">
        <f>IF(OR($A396="",$L396=""),"",IF($X396&lt;=0,"Paid in full",IF($Y396&lt;1,"On track",IF($Y396&lt;=$V396,"1 instalment behind","Behind"))))</f>
        <v/>
      </c>
      <c r="AA396" s="18">
        <f>IF($U396="Overdue",COUNTIF($U$3:$U396,"Overdue"),"")</f>
        <v/>
      </c>
    </row>
    <row r="397">
      <c r="A397" s="4" t="n"/>
      <c r="B397" s="4" t="n"/>
      <c r="C397" s="4" t="n"/>
      <c r="D397" s="4" t="n"/>
      <c r="E397" s="5" t="n"/>
      <c r="F397" s="6" t="n"/>
      <c r="G397" s="6" t="n"/>
      <c r="H397" s="5" t="n"/>
      <c r="I397" s="5" t="n"/>
      <c r="J397" s="6" t="n"/>
      <c r="K397" s="6" t="n"/>
      <c r="L397" s="14" t="n"/>
      <c r="M397" s="14" t="n"/>
      <c r="N397" s="6" t="n"/>
      <c r="O397" s="14" t="n"/>
      <c r="P397" s="4" t="n"/>
      <c r="Q397" s="15">
        <f>IF($E397="","",ROUND(('Settings'!$B$6-$E397)/30.4375,1))</f>
        <v/>
      </c>
      <c r="R397" s="16">
        <f>IF(OR($E397="",N($F397)=0),"",$Q397/$F397)</f>
        <v/>
      </c>
      <c r="S397" s="16">
        <f>IF(N($K397)=0,"",N($J397)/$K397)</f>
        <v/>
      </c>
      <c r="T397" s="17">
        <f>IF(OR($H397="",$G397=""),"",$H397+$G397*7)</f>
        <v/>
      </c>
      <c r="U397" s="9">
        <f>IF(OR($A397="",NOT(OR($P397="Active",$P397="Retention"))),"",IF(AND($I397&lt;&gt;"",$I397&gt;='Settings'!$B$6),"Booked",IF($T397="","",IF('Settings'!$B$6&gt;$T397+'Settings'!$B$7,"Overdue",IF($T397&lt;='Settings'!$B$6+7,"Due this week","On schedule")))))</f>
        <v/>
      </c>
      <c r="V397" s="15">
        <f>IF(OR($L397="",N($N397)=0),"",($L397-N($M397))/$N397)</f>
        <v/>
      </c>
      <c r="W397" s="15">
        <f>IF(OR($L397="",$E397=""),"",MIN($L397,N($M397)+N($V397)*MIN(N($N397),MAX(0,((YEAR('Settings'!$B$6)-YEAR($E397))*12+MONTH('Settings'!$B$6)-MONTH($E397)-IF(DAY('Settings'!$B$6)&lt;DAY($E397),1,0))))))</f>
        <v/>
      </c>
      <c r="X397" s="15">
        <f>IF($L397="","",$L397-N($O397))</f>
        <v/>
      </c>
      <c r="Y397" s="15">
        <f>IF($W397="","",MAX(0,$W397-N($O397)))</f>
        <v/>
      </c>
      <c r="Z397" s="9">
        <f>IF(OR($A397="",$L397=""),"",IF($X397&lt;=0,"Paid in full",IF($Y397&lt;1,"On track",IF($Y397&lt;=$V397,"1 instalment behind","Behind"))))</f>
        <v/>
      </c>
      <c r="AA397" s="18">
        <f>IF($U397="Overdue",COUNTIF($U$3:$U397,"Overdue"),"")</f>
        <v/>
      </c>
    </row>
    <row r="398">
      <c r="A398" s="4" t="n"/>
      <c r="B398" s="4" t="n"/>
      <c r="C398" s="4" t="n"/>
      <c r="D398" s="4" t="n"/>
      <c r="E398" s="5" t="n"/>
      <c r="F398" s="6" t="n"/>
      <c r="G398" s="6" t="n"/>
      <c r="H398" s="5" t="n"/>
      <c r="I398" s="5" t="n"/>
      <c r="J398" s="6" t="n"/>
      <c r="K398" s="6" t="n"/>
      <c r="L398" s="14" t="n"/>
      <c r="M398" s="14" t="n"/>
      <c r="N398" s="6" t="n"/>
      <c r="O398" s="14" t="n"/>
      <c r="P398" s="4" t="n"/>
      <c r="Q398" s="15">
        <f>IF($E398="","",ROUND(('Settings'!$B$6-$E398)/30.4375,1))</f>
        <v/>
      </c>
      <c r="R398" s="16">
        <f>IF(OR($E398="",N($F398)=0),"",$Q398/$F398)</f>
        <v/>
      </c>
      <c r="S398" s="16">
        <f>IF(N($K398)=0,"",N($J398)/$K398)</f>
        <v/>
      </c>
      <c r="T398" s="17">
        <f>IF(OR($H398="",$G398=""),"",$H398+$G398*7)</f>
        <v/>
      </c>
      <c r="U398" s="9">
        <f>IF(OR($A398="",NOT(OR($P398="Active",$P398="Retention"))),"",IF(AND($I398&lt;&gt;"",$I398&gt;='Settings'!$B$6),"Booked",IF($T398="","",IF('Settings'!$B$6&gt;$T398+'Settings'!$B$7,"Overdue",IF($T398&lt;='Settings'!$B$6+7,"Due this week","On schedule")))))</f>
        <v/>
      </c>
      <c r="V398" s="15">
        <f>IF(OR($L398="",N($N398)=0),"",($L398-N($M398))/$N398)</f>
        <v/>
      </c>
      <c r="W398" s="15">
        <f>IF(OR($L398="",$E398=""),"",MIN($L398,N($M398)+N($V398)*MIN(N($N398),MAX(0,((YEAR('Settings'!$B$6)-YEAR($E398))*12+MONTH('Settings'!$B$6)-MONTH($E398)-IF(DAY('Settings'!$B$6)&lt;DAY($E398),1,0))))))</f>
        <v/>
      </c>
      <c r="X398" s="15">
        <f>IF($L398="","",$L398-N($O398))</f>
        <v/>
      </c>
      <c r="Y398" s="15">
        <f>IF($W398="","",MAX(0,$W398-N($O398)))</f>
        <v/>
      </c>
      <c r="Z398" s="9">
        <f>IF(OR($A398="",$L398=""),"",IF($X398&lt;=0,"Paid in full",IF($Y398&lt;1,"On track",IF($Y398&lt;=$V398,"1 instalment behind","Behind"))))</f>
        <v/>
      </c>
      <c r="AA398" s="18">
        <f>IF($U398="Overdue",COUNTIF($U$3:$U398,"Overdue"),"")</f>
        <v/>
      </c>
    </row>
    <row r="399">
      <c r="A399" s="4" t="n"/>
      <c r="B399" s="4" t="n"/>
      <c r="C399" s="4" t="n"/>
      <c r="D399" s="4" t="n"/>
      <c r="E399" s="5" t="n"/>
      <c r="F399" s="6" t="n"/>
      <c r="G399" s="6" t="n"/>
      <c r="H399" s="5" t="n"/>
      <c r="I399" s="5" t="n"/>
      <c r="J399" s="6" t="n"/>
      <c r="K399" s="6" t="n"/>
      <c r="L399" s="14" t="n"/>
      <c r="M399" s="14" t="n"/>
      <c r="N399" s="6" t="n"/>
      <c r="O399" s="14" t="n"/>
      <c r="P399" s="4" t="n"/>
      <c r="Q399" s="15">
        <f>IF($E399="","",ROUND(('Settings'!$B$6-$E399)/30.4375,1))</f>
        <v/>
      </c>
      <c r="R399" s="16">
        <f>IF(OR($E399="",N($F399)=0),"",$Q399/$F399)</f>
        <v/>
      </c>
      <c r="S399" s="16">
        <f>IF(N($K399)=0,"",N($J399)/$K399)</f>
        <v/>
      </c>
      <c r="T399" s="17">
        <f>IF(OR($H399="",$G399=""),"",$H399+$G399*7)</f>
        <v/>
      </c>
      <c r="U399" s="9">
        <f>IF(OR($A399="",NOT(OR($P399="Active",$P399="Retention"))),"",IF(AND($I399&lt;&gt;"",$I399&gt;='Settings'!$B$6),"Booked",IF($T399="","",IF('Settings'!$B$6&gt;$T399+'Settings'!$B$7,"Overdue",IF($T399&lt;='Settings'!$B$6+7,"Due this week","On schedule")))))</f>
        <v/>
      </c>
      <c r="V399" s="15">
        <f>IF(OR($L399="",N($N399)=0),"",($L399-N($M399))/$N399)</f>
        <v/>
      </c>
      <c r="W399" s="15">
        <f>IF(OR($L399="",$E399=""),"",MIN($L399,N($M399)+N($V399)*MIN(N($N399),MAX(0,((YEAR('Settings'!$B$6)-YEAR($E399))*12+MONTH('Settings'!$B$6)-MONTH($E399)-IF(DAY('Settings'!$B$6)&lt;DAY($E399),1,0))))))</f>
        <v/>
      </c>
      <c r="X399" s="15">
        <f>IF($L399="","",$L399-N($O399))</f>
        <v/>
      </c>
      <c r="Y399" s="15">
        <f>IF($W399="","",MAX(0,$W399-N($O399)))</f>
        <v/>
      </c>
      <c r="Z399" s="9">
        <f>IF(OR($A399="",$L399=""),"",IF($X399&lt;=0,"Paid in full",IF($Y399&lt;1,"On track",IF($Y399&lt;=$V399,"1 instalment behind","Behind"))))</f>
        <v/>
      </c>
      <c r="AA399" s="18">
        <f>IF($U399="Overdue",COUNTIF($U$3:$U399,"Overdue"),"")</f>
        <v/>
      </c>
    </row>
    <row r="400">
      <c r="A400" s="4" t="n"/>
      <c r="B400" s="4" t="n"/>
      <c r="C400" s="4" t="n"/>
      <c r="D400" s="4" t="n"/>
      <c r="E400" s="5" t="n"/>
      <c r="F400" s="6" t="n"/>
      <c r="G400" s="6" t="n"/>
      <c r="H400" s="5" t="n"/>
      <c r="I400" s="5" t="n"/>
      <c r="J400" s="6" t="n"/>
      <c r="K400" s="6" t="n"/>
      <c r="L400" s="14" t="n"/>
      <c r="M400" s="14" t="n"/>
      <c r="N400" s="6" t="n"/>
      <c r="O400" s="14" t="n"/>
      <c r="P400" s="4" t="n"/>
      <c r="Q400" s="15">
        <f>IF($E400="","",ROUND(('Settings'!$B$6-$E400)/30.4375,1))</f>
        <v/>
      </c>
      <c r="R400" s="16">
        <f>IF(OR($E400="",N($F400)=0),"",$Q400/$F400)</f>
        <v/>
      </c>
      <c r="S400" s="16">
        <f>IF(N($K400)=0,"",N($J400)/$K400)</f>
        <v/>
      </c>
      <c r="T400" s="17">
        <f>IF(OR($H400="",$G400=""),"",$H400+$G400*7)</f>
        <v/>
      </c>
      <c r="U400" s="9">
        <f>IF(OR($A400="",NOT(OR($P400="Active",$P400="Retention"))),"",IF(AND($I400&lt;&gt;"",$I400&gt;='Settings'!$B$6),"Booked",IF($T400="","",IF('Settings'!$B$6&gt;$T400+'Settings'!$B$7,"Overdue",IF($T400&lt;='Settings'!$B$6+7,"Due this week","On schedule")))))</f>
        <v/>
      </c>
      <c r="V400" s="15">
        <f>IF(OR($L400="",N($N400)=0),"",($L400-N($M400))/$N400)</f>
        <v/>
      </c>
      <c r="W400" s="15">
        <f>IF(OR($L400="",$E400=""),"",MIN($L400,N($M400)+N($V400)*MIN(N($N400),MAX(0,((YEAR('Settings'!$B$6)-YEAR($E400))*12+MONTH('Settings'!$B$6)-MONTH($E400)-IF(DAY('Settings'!$B$6)&lt;DAY($E400),1,0))))))</f>
        <v/>
      </c>
      <c r="X400" s="15">
        <f>IF($L400="","",$L400-N($O400))</f>
        <v/>
      </c>
      <c r="Y400" s="15">
        <f>IF($W400="","",MAX(0,$W400-N($O400)))</f>
        <v/>
      </c>
      <c r="Z400" s="9">
        <f>IF(OR($A400="",$L400=""),"",IF($X400&lt;=0,"Paid in full",IF($Y400&lt;1,"On track",IF($Y400&lt;=$V400,"1 instalment behind","Behind"))))</f>
        <v/>
      </c>
      <c r="AA400" s="18">
        <f>IF($U400="Overdue",COUNTIF($U$3:$U400,"Overdue"),"")</f>
        <v/>
      </c>
    </row>
    <row r="401">
      <c r="A401" s="4" t="n"/>
      <c r="B401" s="4" t="n"/>
      <c r="C401" s="4" t="n"/>
      <c r="D401" s="4" t="n"/>
      <c r="E401" s="5" t="n"/>
      <c r="F401" s="6" t="n"/>
      <c r="G401" s="6" t="n"/>
      <c r="H401" s="5" t="n"/>
      <c r="I401" s="5" t="n"/>
      <c r="J401" s="6" t="n"/>
      <c r="K401" s="6" t="n"/>
      <c r="L401" s="14" t="n"/>
      <c r="M401" s="14" t="n"/>
      <c r="N401" s="6" t="n"/>
      <c r="O401" s="14" t="n"/>
      <c r="P401" s="4" t="n"/>
      <c r="Q401" s="15">
        <f>IF($E401="","",ROUND(('Settings'!$B$6-$E401)/30.4375,1))</f>
        <v/>
      </c>
      <c r="R401" s="16">
        <f>IF(OR($E401="",N($F401)=0),"",$Q401/$F401)</f>
        <v/>
      </c>
      <c r="S401" s="16">
        <f>IF(N($K401)=0,"",N($J401)/$K401)</f>
        <v/>
      </c>
      <c r="T401" s="17">
        <f>IF(OR($H401="",$G401=""),"",$H401+$G401*7)</f>
        <v/>
      </c>
      <c r="U401" s="9">
        <f>IF(OR($A401="",NOT(OR($P401="Active",$P401="Retention"))),"",IF(AND($I401&lt;&gt;"",$I401&gt;='Settings'!$B$6),"Booked",IF($T401="","",IF('Settings'!$B$6&gt;$T401+'Settings'!$B$7,"Overdue",IF($T401&lt;='Settings'!$B$6+7,"Due this week","On schedule")))))</f>
        <v/>
      </c>
      <c r="V401" s="15">
        <f>IF(OR($L401="",N($N401)=0),"",($L401-N($M401))/$N401)</f>
        <v/>
      </c>
      <c r="W401" s="15">
        <f>IF(OR($L401="",$E401=""),"",MIN($L401,N($M401)+N($V401)*MIN(N($N401),MAX(0,((YEAR('Settings'!$B$6)-YEAR($E401))*12+MONTH('Settings'!$B$6)-MONTH($E401)-IF(DAY('Settings'!$B$6)&lt;DAY($E401),1,0))))))</f>
        <v/>
      </c>
      <c r="X401" s="15">
        <f>IF($L401="","",$L401-N($O401))</f>
        <v/>
      </c>
      <c r="Y401" s="15">
        <f>IF($W401="","",MAX(0,$W401-N($O401)))</f>
        <v/>
      </c>
      <c r="Z401" s="9">
        <f>IF(OR($A401="",$L401=""),"",IF($X401&lt;=0,"Paid in full",IF($Y401&lt;1,"On track",IF($Y401&lt;=$V401,"1 instalment behind","Behind"))))</f>
        <v/>
      </c>
      <c r="AA401" s="18">
        <f>IF($U401="Overdue",COUNTIF($U$3:$U401,"Overdue"),"")</f>
        <v/>
      </c>
    </row>
    <row r="402">
      <c r="A402" s="4" t="n"/>
      <c r="B402" s="4" t="n"/>
      <c r="C402" s="4" t="n"/>
      <c r="D402" s="4" t="n"/>
      <c r="E402" s="5" t="n"/>
      <c r="F402" s="6" t="n"/>
      <c r="G402" s="6" t="n"/>
      <c r="H402" s="5" t="n"/>
      <c r="I402" s="5" t="n"/>
      <c r="J402" s="6" t="n"/>
      <c r="K402" s="6" t="n"/>
      <c r="L402" s="14" t="n"/>
      <c r="M402" s="14" t="n"/>
      <c r="N402" s="6" t="n"/>
      <c r="O402" s="14" t="n"/>
      <c r="P402" s="4" t="n"/>
      <c r="Q402" s="15">
        <f>IF($E402="","",ROUND(('Settings'!$B$6-$E402)/30.4375,1))</f>
        <v/>
      </c>
      <c r="R402" s="16">
        <f>IF(OR($E402="",N($F402)=0),"",$Q402/$F402)</f>
        <v/>
      </c>
      <c r="S402" s="16">
        <f>IF(N($K402)=0,"",N($J402)/$K402)</f>
        <v/>
      </c>
      <c r="T402" s="17">
        <f>IF(OR($H402="",$G402=""),"",$H402+$G402*7)</f>
        <v/>
      </c>
      <c r="U402" s="9">
        <f>IF(OR($A402="",NOT(OR($P402="Active",$P402="Retention"))),"",IF(AND($I402&lt;&gt;"",$I402&gt;='Settings'!$B$6),"Booked",IF($T402="","",IF('Settings'!$B$6&gt;$T402+'Settings'!$B$7,"Overdue",IF($T402&lt;='Settings'!$B$6+7,"Due this week","On schedule")))))</f>
        <v/>
      </c>
      <c r="V402" s="15">
        <f>IF(OR($L402="",N($N402)=0),"",($L402-N($M402))/$N402)</f>
        <v/>
      </c>
      <c r="W402" s="15">
        <f>IF(OR($L402="",$E402=""),"",MIN($L402,N($M402)+N($V402)*MIN(N($N402),MAX(0,((YEAR('Settings'!$B$6)-YEAR($E402))*12+MONTH('Settings'!$B$6)-MONTH($E402)-IF(DAY('Settings'!$B$6)&lt;DAY($E402),1,0))))))</f>
        <v/>
      </c>
      <c r="X402" s="15">
        <f>IF($L402="","",$L402-N($O402))</f>
        <v/>
      </c>
      <c r="Y402" s="15">
        <f>IF($W402="","",MAX(0,$W402-N($O402)))</f>
        <v/>
      </c>
      <c r="Z402" s="9">
        <f>IF(OR($A402="",$L402=""),"",IF($X402&lt;=0,"Paid in full",IF($Y402&lt;1,"On track",IF($Y402&lt;=$V402,"1 instalment behind","Behind"))))</f>
        <v/>
      </c>
      <c r="AA402" s="18">
        <f>IF($U402="Overdue",COUNTIF($U$3:$U402,"Overdue"),"")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AA402"/>
  <mergeCells count="1">
    <mergeCell ref="A1:L1"/>
  </mergeCells>
  <conditionalFormatting sqref="U3:U402">
    <cfRule type="expression" priority="1" dxfId="0">
      <formula>U3="Overdue"</formula>
    </cfRule>
    <cfRule type="expression" priority="2" dxfId="1">
      <formula>U3="Due this week"</formula>
    </cfRule>
    <cfRule type="expression" priority="3" dxfId="2">
      <formula>U3="Booked"</formula>
    </cfRule>
  </conditionalFormatting>
  <conditionalFormatting sqref="Z3:Z402">
    <cfRule type="expression" priority="4" dxfId="0">
      <formula>Z3="Behind"</formula>
    </cfRule>
    <cfRule type="expression" priority="5" dxfId="1">
      <formula>Z3="1 instalment behind"</formula>
    </cfRule>
  </conditionalFormatting>
  <conditionalFormatting sqref="R3:R402">
    <cfRule type="expression" priority="6" dxfId="1">
      <formula>AND(ISNUMBER(R3),R3&gt;1+'Settings'!$B$8,$P3="Active")</formula>
    </cfRule>
  </conditionalFormatting>
  <dataValidations count="3">
    <dataValidation sqref="C3:C402" showDropDown="0" showInputMessage="0" showErrorMessage="0" allowBlank="1" errorTitle="Not in the list" error="Pick from the list." type="list">
      <formula1>=Orthodontists</formula1>
    </dataValidation>
    <dataValidation sqref="D3:D402" showDropDown="0" showInputMessage="0" showErrorMessage="0" allowBlank="1" errorTitle="Not in the list" error="Pick from the list." type="list">
      <formula1>=Appliances</formula1>
    </dataValidation>
    <dataValidation sqref="P3:P402" showDropDown="0" showInputMessage="0" showErrorMessage="0" allowBlank="1" errorTitle="Not in the list" error="Pick from the list." type="list">
      <formula1>=States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H59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9" t="inlineStr">
        <is>
          <t>Orthodontic patients summary</t>
        </is>
      </c>
    </row>
    <row r="2">
      <c r="A2" s="2">
        <f>'Settings'!B4</f>
        <v/>
      </c>
    </row>
    <row r="4">
      <c r="A4" s="3" t="inlineStr">
        <is>
          <t>Today</t>
        </is>
      </c>
      <c r="B4" s="17">
        <f>'Settings'!$B$6</f>
        <v/>
      </c>
    </row>
    <row r="5">
      <c r="A5" s="3" t="inlineStr">
        <is>
          <t>Currency</t>
        </is>
      </c>
      <c r="B5" s="9">
        <f>'Settings'!$B$5</f>
        <v/>
      </c>
    </row>
    <row r="6">
      <c r="A6" s="3" t="inlineStr">
        <is>
          <t>Patients in active treatment</t>
        </is>
      </c>
      <c r="B6" s="18">
        <f>COUNTIF('Patients'!$P$3:$P$402,"Active")</f>
        <v/>
      </c>
    </row>
    <row r="7">
      <c r="A7" s="3" t="inlineStr">
        <is>
          <t>Patients in retention</t>
        </is>
      </c>
      <c r="B7" s="18">
        <f>COUNTIF('Patients'!$P$3:$P$402,"Retention")</f>
        <v/>
      </c>
    </row>
    <row r="8">
      <c r="A8" s="3" t="inlineStr">
        <is>
          <t>Overdue, nothing booked</t>
        </is>
      </c>
      <c r="B8" s="20">
        <f>COUNTIF('Patients'!$U$3:$U$402,"Overdue")</f>
        <v/>
      </c>
    </row>
    <row r="9">
      <c r="A9" s="3" t="inlineStr">
        <is>
          <t>Due this week, not booked</t>
        </is>
      </c>
      <c r="B9" s="18">
        <f>COUNTIF('Patients'!$U$3:$U$402,"Due this week")</f>
        <v/>
      </c>
    </row>
    <row r="10">
      <c r="A10" s="3" t="inlineStr">
        <is>
          <t>Share of patients with a visit booked</t>
        </is>
      </c>
      <c r="B10" s="16">
        <f>IFERROR(COUNTIF('Patients'!$U$3:$U$402,"Booked")/(COUNTIF('Patients'!$P$3:$P$402,"Active")+COUNTIF('Patients'!$P$3:$P$402,"Retention")),"")</f>
        <v/>
      </c>
    </row>
    <row r="11">
      <c r="A11" s="3" t="inlineStr">
        <is>
          <t>Past the planned time (active)</t>
        </is>
      </c>
      <c r="B11" s="18">
        <f>COUNTIFS('Patients'!$P$3:$P$402,"Active",'Patients'!$R$3:$R$402,"&gt;"&amp;(1+'Settings'!$B$8))</f>
        <v/>
      </c>
    </row>
    <row r="12">
      <c r="A12" s="3" t="inlineStr">
        <is>
          <t>Fees, current patients</t>
        </is>
      </c>
      <c r="B12" s="15">
        <f>SUMIFS('Patients'!$L$3:$L$402,'Patients'!$P$3:$P$402,"Active")+SUMIFS('Patients'!$L$3:$L$402,'Patients'!$P$3:$P$402,"Retention")+SUMIFS('Patients'!$L$3:$L$402,'Patients'!$P$3:$P$402,"Paused")</f>
        <v/>
      </c>
    </row>
    <row r="13">
      <c r="A13" s="3" t="inlineStr">
        <is>
          <t>Balance still to collect</t>
        </is>
      </c>
      <c r="B13" s="15">
        <f>SUM('Patients'!$X$3:$X$402)</f>
        <v/>
      </c>
    </row>
    <row r="14">
      <c r="A14" s="3" t="inlineStr">
        <is>
          <t>Arrears (due and unpaid)</t>
        </is>
      </c>
      <c r="B14" s="21">
        <f>SUM('Patients'!$Y$3:$Y$402)</f>
        <v/>
      </c>
    </row>
    <row r="15">
      <c r="A15" s="3" t="inlineStr">
        <is>
          <t>Patients behind on payments</t>
        </is>
      </c>
      <c r="B15" s="18">
        <f>COUNTIF('Patients'!$Z$3:$Z$402,"1 instalment behind")+COUNTIF('Patients'!$Z$3:$Z$402,"Behind")</f>
        <v/>
      </c>
    </row>
    <row r="16">
      <c r="A16" s="3" t="inlineStr">
        <is>
          <t>Behind on both visits and payments</t>
        </is>
      </c>
      <c r="B16" s="20">
        <f>COUNTIFS('Patients'!$U$3:$U$402,"Overdue",'Patients'!$Z$3:$Z$402,"1 instalment behind")+COUNTIFS('Patients'!$U$3:$U$402,"Overdue",'Patients'!$Z$3:$Z$402,"Behind")</f>
        <v/>
      </c>
    </row>
    <row r="18">
      <c r="A18" s="11" t="inlineStr">
        <is>
          <t>By appliance</t>
        </is>
      </c>
    </row>
    <row r="19" ht="44" customHeight="1">
      <c r="A19" s="8" t="inlineStr">
        <is>
          <t>Appliance</t>
        </is>
      </c>
      <c r="B19" s="8" t="inlineStr">
        <is>
          <t>Active</t>
        </is>
      </c>
      <c r="C19" s="8" t="inlineStr">
        <is>
          <t>Retention</t>
        </is>
      </c>
      <c r="D19" s="8" t="inlineStr">
        <is>
          <t>Average time used</t>
        </is>
      </c>
      <c r="E19" s="8" t="inlineStr">
        <is>
          <t>Overdue visits</t>
        </is>
      </c>
      <c r="F19" s="8" t="inlineStr">
        <is>
          <t>Fees</t>
        </is>
      </c>
      <c r="G19" s="8" t="inlineStr">
        <is>
          <t>Balance</t>
        </is>
      </c>
      <c r="H19" s="8" t="inlineStr">
        <is>
          <t>Arrears</t>
        </is>
      </c>
    </row>
    <row r="20">
      <c r="A20" s="9">
        <f>IF(INDEX(Appliances,1)="","",INDEX(Appliances,1))</f>
        <v/>
      </c>
      <c r="B20" s="18">
        <f>IF($A20="","",COUNTIFS('Patients'!$D$3:$D$402,$A20,'Patients'!$P$3:$P$402,"Active"))</f>
        <v/>
      </c>
      <c r="C20" s="18">
        <f>IF($A20="","",COUNTIFS('Patients'!$D$3:$D$402,$A20,'Patients'!$P$3:$P$402,"Retention"))</f>
        <v/>
      </c>
      <c r="D20" s="16">
        <f>IF($A20="","",IFERROR(AVERAGEIFS('Patients'!$R$3:$R$402,'Patients'!$D$3:$D$402,$A20,'Patients'!$P$3:$P$402,"Active"),""))</f>
        <v/>
      </c>
      <c r="E20" s="18">
        <f>IF($A20="","",COUNTIFS('Patients'!$D$3:$D$402,$A20,'Patients'!$U$3:$U$402,"Overdue"))</f>
        <v/>
      </c>
      <c r="F20" s="15">
        <f>IF($A20="","",SUMIFS('Patients'!$L$3:$L$402,'Patients'!$D$3:$D$402,$A20))</f>
        <v/>
      </c>
      <c r="G20" s="15">
        <f>IF($A20="","",SUMIFS('Patients'!$X$3:$X$402,'Patients'!$D$3:$D$402,$A20))</f>
        <v/>
      </c>
      <c r="H20" s="15">
        <f>IF($A20="","",SUMIFS('Patients'!$Y$3:$Y$402,'Patients'!$D$3:$D$402,$A20))</f>
        <v/>
      </c>
    </row>
    <row r="21">
      <c r="A21" s="9">
        <f>IF(INDEX(Appliances,2)="","",INDEX(Appliances,2))</f>
        <v/>
      </c>
      <c r="B21" s="18">
        <f>IF($A21="","",COUNTIFS('Patients'!$D$3:$D$402,$A21,'Patients'!$P$3:$P$402,"Active"))</f>
        <v/>
      </c>
      <c r="C21" s="18">
        <f>IF($A21="","",COUNTIFS('Patients'!$D$3:$D$402,$A21,'Patients'!$P$3:$P$402,"Retention"))</f>
        <v/>
      </c>
      <c r="D21" s="16">
        <f>IF($A21="","",IFERROR(AVERAGEIFS('Patients'!$R$3:$R$402,'Patients'!$D$3:$D$402,$A21,'Patients'!$P$3:$P$402,"Active"),""))</f>
        <v/>
      </c>
      <c r="E21" s="18">
        <f>IF($A21="","",COUNTIFS('Patients'!$D$3:$D$402,$A21,'Patients'!$U$3:$U$402,"Overdue"))</f>
        <v/>
      </c>
      <c r="F21" s="15">
        <f>IF($A21="","",SUMIFS('Patients'!$L$3:$L$402,'Patients'!$D$3:$D$402,$A21))</f>
        <v/>
      </c>
      <c r="G21" s="15">
        <f>IF($A21="","",SUMIFS('Patients'!$X$3:$X$402,'Patients'!$D$3:$D$402,$A21))</f>
        <v/>
      </c>
      <c r="H21" s="15">
        <f>IF($A21="","",SUMIFS('Patients'!$Y$3:$Y$402,'Patients'!$D$3:$D$402,$A21))</f>
        <v/>
      </c>
    </row>
    <row r="22">
      <c r="A22" s="9">
        <f>IF(INDEX(Appliances,3)="","",INDEX(Appliances,3))</f>
        <v/>
      </c>
      <c r="B22" s="18">
        <f>IF($A22="","",COUNTIFS('Patients'!$D$3:$D$402,$A22,'Patients'!$P$3:$P$402,"Active"))</f>
        <v/>
      </c>
      <c r="C22" s="18">
        <f>IF($A22="","",COUNTIFS('Patients'!$D$3:$D$402,$A22,'Patients'!$P$3:$P$402,"Retention"))</f>
        <v/>
      </c>
      <c r="D22" s="16">
        <f>IF($A22="","",IFERROR(AVERAGEIFS('Patients'!$R$3:$R$402,'Patients'!$D$3:$D$402,$A22,'Patients'!$P$3:$P$402,"Active"),""))</f>
        <v/>
      </c>
      <c r="E22" s="18">
        <f>IF($A22="","",COUNTIFS('Patients'!$D$3:$D$402,$A22,'Patients'!$U$3:$U$402,"Overdue"))</f>
        <v/>
      </c>
      <c r="F22" s="15">
        <f>IF($A22="","",SUMIFS('Patients'!$L$3:$L$402,'Patients'!$D$3:$D$402,$A22))</f>
        <v/>
      </c>
      <c r="G22" s="15">
        <f>IF($A22="","",SUMIFS('Patients'!$X$3:$X$402,'Patients'!$D$3:$D$402,$A22))</f>
        <v/>
      </c>
      <c r="H22" s="15">
        <f>IF($A22="","",SUMIFS('Patients'!$Y$3:$Y$402,'Patients'!$D$3:$D$402,$A22))</f>
        <v/>
      </c>
    </row>
    <row r="23">
      <c r="A23" s="9">
        <f>IF(INDEX(Appliances,4)="","",INDEX(Appliances,4))</f>
        <v/>
      </c>
      <c r="B23" s="18">
        <f>IF($A23="","",COUNTIFS('Patients'!$D$3:$D$402,$A23,'Patients'!$P$3:$P$402,"Active"))</f>
        <v/>
      </c>
      <c r="C23" s="18">
        <f>IF($A23="","",COUNTIFS('Patients'!$D$3:$D$402,$A23,'Patients'!$P$3:$P$402,"Retention"))</f>
        <v/>
      </c>
      <c r="D23" s="16">
        <f>IF($A23="","",IFERROR(AVERAGEIFS('Patients'!$R$3:$R$402,'Patients'!$D$3:$D$402,$A23,'Patients'!$P$3:$P$402,"Active"),""))</f>
        <v/>
      </c>
      <c r="E23" s="18">
        <f>IF($A23="","",COUNTIFS('Patients'!$D$3:$D$402,$A23,'Patients'!$U$3:$U$402,"Overdue"))</f>
        <v/>
      </c>
      <c r="F23" s="15">
        <f>IF($A23="","",SUMIFS('Patients'!$L$3:$L$402,'Patients'!$D$3:$D$402,$A23))</f>
        <v/>
      </c>
      <c r="G23" s="15">
        <f>IF($A23="","",SUMIFS('Patients'!$X$3:$X$402,'Patients'!$D$3:$D$402,$A23))</f>
        <v/>
      </c>
      <c r="H23" s="15">
        <f>IF($A23="","",SUMIFS('Patients'!$Y$3:$Y$402,'Patients'!$D$3:$D$402,$A23))</f>
        <v/>
      </c>
    </row>
    <row r="24">
      <c r="A24" s="9">
        <f>IF(INDEX(Appliances,5)="","",INDEX(Appliances,5))</f>
        <v/>
      </c>
      <c r="B24" s="18">
        <f>IF($A24="","",COUNTIFS('Patients'!$D$3:$D$402,$A24,'Patients'!$P$3:$P$402,"Active"))</f>
        <v/>
      </c>
      <c r="C24" s="18">
        <f>IF($A24="","",COUNTIFS('Patients'!$D$3:$D$402,$A24,'Patients'!$P$3:$P$402,"Retention"))</f>
        <v/>
      </c>
      <c r="D24" s="16">
        <f>IF($A24="","",IFERROR(AVERAGEIFS('Patients'!$R$3:$R$402,'Patients'!$D$3:$D$402,$A24,'Patients'!$P$3:$P$402,"Active"),""))</f>
        <v/>
      </c>
      <c r="E24" s="18">
        <f>IF($A24="","",COUNTIFS('Patients'!$D$3:$D$402,$A24,'Patients'!$U$3:$U$402,"Overdue"))</f>
        <v/>
      </c>
      <c r="F24" s="15">
        <f>IF($A24="","",SUMIFS('Patients'!$L$3:$L$402,'Patients'!$D$3:$D$402,$A24))</f>
        <v/>
      </c>
      <c r="G24" s="15">
        <f>IF($A24="","",SUMIFS('Patients'!$X$3:$X$402,'Patients'!$D$3:$D$402,$A24))</f>
        <v/>
      </c>
      <c r="H24" s="15">
        <f>IF($A24="","",SUMIFS('Patients'!$Y$3:$Y$402,'Patients'!$D$3:$D$402,$A24))</f>
        <v/>
      </c>
    </row>
    <row r="25">
      <c r="A25" s="9">
        <f>IF(INDEX(Appliances,6)="","",INDEX(Appliances,6))</f>
        <v/>
      </c>
      <c r="B25" s="18">
        <f>IF($A25="","",COUNTIFS('Patients'!$D$3:$D$402,$A25,'Patients'!$P$3:$P$402,"Active"))</f>
        <v/>
      </c>
      <c r="C25" s="18">
        <f>IF($A25="","",COUNTIFS('Patients'!$D$3:$D$402,$A25,'Patients'!$P$3:$P$402,"Retention"))</f>
        <v/>
      </c>
      <c r="D25" s="16">
        <f>IF($A25="","",IFERROR(AVERAGEIFS('Patients'!$R$3:$R$402,'Patients'!$D$3:$D$402,$A25,'Patients'!$P$3:$P$402,"Active"),""))</f>
        <v/>
      </c>
      <c r="E25" s="18">
        <f>IF($A25="","",COUNTIFS('Patients'!$D$3:$D$402,$A25,'Patients'!$U$3:$U$402,"Overdue"))</f>
        <v/>
      </c>
      <c r="F25" s="15">
        <f>IF($A25="","",SUMIFS('Patients'!$L$3:$L$402,'Patients'!$D$3:$D$402,$A25))</f>
        <v/>
      </c>
      <c r="G25" s="15">
        <f>IF($A25="","",SUMIFS('Patients'!$X$3:$X$402,'Patients'!$D$3:$D$402,$A25))</f>
        <v/>
      </c>
      <c r="H25" s="15">
        <f>IF($A25="","",SUMIFS('Patients'!$Y$3:$Y$402,'Patients'!$D$3:$D$402,$A25))</f>
        <v/>
      </c>
    </row>
    <row r="27">
      <c r="A27" s="11" t="inlineStr">
        <is>
          <t>By orthodontist</t>
        </is>
      </c>
    </row>
    <row r="28" ht="44" customHeight="1">
      <c r="A28" s="8" t="inlineStr">
        <is>
          <t>Orthodontist</t>
        </is>
      </c>
      <c r="B28" s="8" t="inlineStr">
        <is>
          <t>Active</t>
        </is>
      </c>
      <c r="C28" s="8" t="inlineStr">
        <is>
          <t>Retention</t>
        </is>
      </c>
      <c r="D28" s="8" t="inlineStr">
        <is>
          <t>Average time used</t>
        </is>
      </c>
      <c r="E28" s="8" t="inlineStr">
        <is>
          <t>Overdue visits</t>
        </is>
      </c>
      <c r="F28" s="8" t="inlineStr">
        <is>
          <t>Fees</t>
        </is>
      </c>
      <c r="G28" s="8" t="inlineStr">
        <is>
          <t>Balance</t>
        </is>
      </c>
      <c r="H28" s="8" t="inlineStr">
        <is>
          <t>Arrears</t>
        </is>
      </c>
    </row>
    <row r="29">
      <c r="A29" s="9">
        <f>IF(INDEX(Orthodontists,1)="","",INDEX(Orthodontists,1))</f>
        <v/>
      </c>
      <c r="B29" s="18">
        <f>IF($A29="","",COUNTIFS('Patients'!$C$3:$C$402,$A29,'Patients'!$P$3:$P$402,"Active"))</f>
        <v/>
      </c>
      <c r="C29" s="18">
        <f>IF($A29="","",COUNTIFS('Patients'!$C$3:$C$402,$A29,'Patients'!$P$3:$P$402,"Retention"))</f>
        <v/>
      </c>
      <c r="D29" s="16">
        <f>IF($A29="","",IFERROR(AVERAGEIFS('Patients'!$R$3:$R$402,'Patients'!$C$3:$C$402,$A29,'Patients'!$P$3:$P$402,"Active"),""))</f>
        <v/>
      </c>
      <c r="E29" s="18">
        <f>IF($A29="","",COUNTIFS('Patients'!$C$3:$C$402,$A29,'Patients'!$U$3:$U$402,"Overdue"))</f>
        <v/>
      </c>
      <c r="F29" s="15">
        <f>IF($A29="","",SUMIFS('Patients'!$L$3:$L$402,'Patients'!$C$3:$C$402,$A29))</f>
        <v/>
      </c>
      <c r="G29" s="15">
        <f>IF($A29="","",SUMIFS('Patients'!$X$3:$X$402,'Patients'!$C$3:$C$402,$A29))</f>
        <v/>
      </c>
      <c r="H29" s="15">
        <f>IF($A29="","",SUMIFS('Patients'!$Y$3:$Y$402,'Patients'!$C$3:$C$402,$A29))</f>
        <v/>
      </c>
    </row>
    <row r="30">
      <c r="A30" s="9">
        <f>IF(INDEX(Orthodontists,2)="","",INDEX(Orthodontists,2))</f>
        <v/>
      </c>
      <c r="B30" s="18">
        <f>IF($A30="","",COUNTIFS('Patients'!$C$3:$C$402,$A30,'Patients'!$P$3:$P$402,"Active"))</f>
        <v/>
      </c>
      <c r="C30" s="18">
        <f>IF($A30="","",COUNTIFS('Patients'!$C$3:$C$402,$A30,'Patients'!$P$3:$P$402,"Retention"))</f>
        <v/>
      </c>
      <c r="D30" s="16">
        <f>IF($A30="","",IFERROR(AVERAGEIFS('Patients'!$R$3:$R$402,'Patients'!$C$3:$C$402,$A30,'Patients'!$P$3:$P$402,"Active"),""))</f>
        <v/>
      </c>
      <c r="E30" s="18">
        <f>IF($A30="","",COUNTIFS('Patients'!$C$3:$C$402,$A30,'Patients'!$U$3:$U$402,"Overdue"))</f>
        <v/>
      </c>
      <c r="F30" s="15">
        <f>IF($A30="","",SUMIFS('Patients'!$L$3:$L$402,'Patients'!$C$3:$C$402,$A30))</f>
        <v/>
      </c>
      <c r="G30" s="15">
        <f>IF($A30="","",SUMIFS('Patients'!$X$3:$X$402,'Patients'!$C$3:$C$402,$A30))</f>
        <v/>
      </c>
      <c r="H30" s="15">
        <f>IF($A30="","",SUMIFS('Patients'!$Y$3:$Y$402,'Patients'!$C$3:$C$402,$A30))</f>
        <v/>
      </c>
    </row>
    <row r="31">
      <c r="A31" s="9">
        <f>IF(INDEX(Orthodontists,3)="","",INDEX(Orthodontists,3))</f>
        <v/>
      </c>
      <c r="B31" s="18">
        <f>IF($A31="","",COUNTIFS('Patients'!$C$3:$C$402,$A31,'Patients'!$P$3:$P$402,"Active"))</f>
        <v/>
      </c>
      <c r="C31" s="18">
        <f>IF($A31="","",COUNTIFS('Patients'!$C$3:$C$402,$A31,'Patients'!$P$3:$P$402,"Retention"))</f>
        <v/>
      </c>
      <c r="D31" s="16">
        <f>IF($A31="","",IFERROR(AVERAGEIFS('Patients'!$R$3:$R$402,'Patients'!$C$3:$C$402,$A31,'Patients'!$P$3:$P$402,"Active"),""))</f>
        <v/>
      </c>
      <c r="E31" s="18">
        <f>IF($A31="","",COUNTIFS('Patients'!$C$3:$C$402,$A31,'Patients'!$U$3:$U$402,"Overdue"))</f>
        <v/>
      </c>
      <c r="F31" s="15">
        <f>IF($A31="","",SUMIFS('Patients'!$L$3:$L$402,'Patients'!$C$3:$C$402,$A31))</f>
        <v/>
      </c>
      <c r="G31" s="15">
        <f>IF($A31="","",SUMIFS('Patients'!$X$3:$X$402,'Patients'!$C$3:$C$402,$A31))</f>
        <v/>
      </c>
      <c r="H31" s="15">
        <f>IF($A31="","",SUMIFS('Patients'!$Y$3:$Y$402,'Patients'!$C$3:$C$402,$A31))</f>
        <v/>
      </c>
    </row>
    <row r="32">
      <c r="A32" s="9">
        <f>IF(INDEX(Orthodontists,4)="","",INDEX(Orthodontists,4))</f>
        <v/>
      </c>
      <c r="B32" s="18">
        <f>IF($A32="","",COUNTIFS('Patients'!$C$3:$C$402,$A32,'Patients'!$P$3:$P$402,"Active"))</f>
        <v/>
      </c>
      <c r="C32" s="18">
        <f>IF($A32="","",COUNTIFS('Patients'!$C$3:$C$402,$A32,'Patients'!$P$3:$P$402,"Retention"))</f>
        <v/>
      </c>
      <c r="D32" s="16">
        <f>IF($A32="","",IFERROR(AVERAGEIFS('Patients'!$R$3:$R$402,'Patients'!$C$3:$C$402,$A32,'Patients'!$P$3:$P$402,"Active"),""))</f>
        <v/>
      </c>
      <c r="E32" s="18">
        <f>IF($A32="","",COUNTIFS('Patients'!$C$3:$C$402,$A32,'Patients'!$U$3:$U$402,"Overdue"))</f>
        <v/>
      </c>
      <c r="F32" s="15">
        <f>IF($A32="","",SUMIFS('Patients'!$L$3:$L$402,'Patients'!$C$3:$C$402,$A32))</f>
        <v/>
      </c>
      <c r="G32" s="15">
        <f>IF($A32="","",SUMIFS('Patients'!$X$3:$X$402,'Patients'!$C$3:$C$402,$A32))</f>
        <v/>
      </c>
      <c r="H32" s="15">
        <f>IF($A32="","",SUMIFS('Patients'!$Y$3:$Y$402,'Patients'!$C$3:$C$402,$A32))</f>
        <v/>
      </c>
    </row>
    <row r="34">
      <c r="A34" s="11" t="inlineStr">
        <is>
          <t>Overdue with nothing booked: the call list</t>
        </is>
      </c>
    </row>
    <row r="35" ht="32" customHeight="1">
      <c r="A35" s="8" t="inlineStr">
        <is>
          <t>Patient</t>
        </is>
      </c>
      <c r="B35" s="8" t="inlineStr">
        <is>
          <t>File no.</t>
        </is>
      </c>
      <c r="C35" s="8" t="inlineStr">
        <is>
          <t>Appliance</t>
        </is>
      </c>
      <c r="D35" s="8" t="inlineStr">
        <is>
          <t>Last visit</t>
        </is>
      </c>
      <c r="E35" s="8" t="inlineStr">
        <is>
          <t>Was due</t>
        </is>
      </c>
      <c r="F35" s="8" t="inlineStr">
        <is>
          <t>Orthodontist</t>
        </is>
      </c>
      <c r="G35" s="8" t="inlineStr">
        <is>
          <t>Payments</t>
        </is>
      </c>
      <c r="H35" s="8" t="inlineStr">
        <is>
          <t>Arrears</t>
        </is>
      </c>
    </row>
    <row r="36">
      <c r="A36" s="9">
        <f>IFERROR(INDEX('Patients'!$B$3:$B$402,MATCH(1,'Patients'!$AA$3:$AA$402,0)),"")</f>
        <v/>
      </c>
      <c r="B36" s="9">
        <f>IFERROR(INDEX('Patients'!$A$3:$A$402,MATCH(1,'Patients'!$AA$3:$AA$402,0)),"")</f>
        <v/>
      </c>
      <c r="C36" s="9">
        <f>IFERROR(INDEX('Patients'!$D$3:$D$402,MATCH(1,'Patients'!$AA$3:$AA$402,0)),"")</f>
        <v/>
      </c>
      <c r="D36" s="17">
        <f>IFERROR(INDEX('Patients'!$H$3:$H$402,MATCH(1,'Patients'!$AA$3:$AA$402,0)),"")</f>
        <v/>
      </c>
      <c r="E36" s="17">
        <f>IFERROR(INDEX('Patients'!$T$3:$T$402,MATCH(1,'Patients'!$AA$3:$AA$402,0)),"")</f>
        <v/>
      </c>
      <c r="F36" s="9">
        <f>IFERROR(INDEX('Patients'!$C$3:$C$402,MATCH(1,'Patients'!$AA$3:$AA$402,0)),"")</f>
        <v/>
      </c>
      <c r="G36" s="9">
        <f>IFERROR(INDEX('Patients'!$Z$3:$Z$402,MATCH(1,'Patients'!$AA$3:$AA$402,0)),"")</f>
        <v/>
      </c>
      <c r="H36" s="15">
        <f>IFERROR(INDEX('Patients'!$Y$3:$Y$402,MATCH(1,'Patients'!$AA$3:$AA$402,0)),"")</f>
        <v/>
      </c>
    </row>
    <row r="37">
      <c r="A37" s="9">
        <f>IFERROR(INDEX('Patients'!$B$3:$B$402,MATCH(2,'Patients'!$AA$3:$AA$402,0)),"")</f>
        <v/>
      </c>
      <c r="B37" s="9">
        <f>IFERROR(INDEX('Patients'!$A$3:$A$402,MATCH(2,'Patients'!$AA$3:$AA$402,0)),"")</f>
        <v/>
      </c>
      <c r="C37" s="9">
        <f>IFERROR(INDEX('Patients'!$D$3:$D$402,MATCH(2,'Patients'!$AA$3:$AA$402,0)),"")</f>
        <v/>
      </c>
      <c r="D37" s="17">
        <f>IFERROR(INDEX('Patients'!$H$3:$H$402,MATCH(2,'Patients'!$AA$3:$AA$402,0)),"")</f>
        <v/>
      </c>
      <c r="E37" s="17">
        <f>IFERROR(INDEX('Patients'!$T$3:$T$402,MATCH(2,'Patients'!$AA$3:$AA$402,0)),"")</f>
        <v/>
      </c>
      <c r="F37" s="9">
        <f>IFERROR(INDEX('Patients'!$C$3:$C$402,MATCH(2,'Patients'!$AA$3:$AA$402,0)),"")</f>
        <v/>
      </c>
      <c r="G37" s="9">
        <f>IFERROR(INDEX('Patients'!$Z$3:$Z$402,MATCH(2,'Patients'!$AA$3:$AA$402,0)),"")</f>
        <v/>
      </c>
      <c r="H37" s="15">
        <f>IFERROR(INDEX('Patients'!$Y$3:$Y$402,MATCH(2,'Patients'!$AA$3:$AA$402,0)),"")</f>
        <v/>
      </c>
    </row>
    <row r="38">
      <c r="A38" s="9">
        <f>IFERROR(INDEX('Patients'!$B$3:$B$402,MATCH(3,'Patients'!$AA$3:$AA$402,0)),"")</f>
        <v/>
      </c>
      <c r="B38" s="9">
        <f>IFERROR(INDEX('Patients'!$A$3:$A$402,MATCH(3,'Patients'!$AA$3:$AA$402,0)),"")</f>
        <v/>
      </c>
      <c r="C38" s="9">
        <f>IFERROR(INDEX('Patients'!$D$3:$D$402,MATCH(3,'Patients'!$AA$3:$AA$402,0)),"")</f>
        <v/>
      </c>
      <c r="D38" s="17">
        <f>IFERROR(INDEX('Patients'!$H$3:$H$402,MATCH(3,'Patients'!$AA$3:$AA$402,0)),"")</f>
        <v/>
      </c>
      <c r="E38" s="17">
        <f>IFERROR(INDEX('Patients'!$T$3:$T$402,MATCH(3,'Patients'!$AA$3:$AA$402,0)),"")</f>
        <v/>
      </c>
      <c r="F38" s="9">
        <f>IFERROR(INDEX('Patients'!$C$3:$C$402,MATCH(3,'Patients'!$AA$3:$AA$402,0)),"")</f>
        <v/>
      </c>
      <c r="G38" s="9">
        <f>IFERROR(INDEX('Patients'!$Z$3:$Z$402,MATCH(3,'Patients'!$AA$3:$AA$402,0)),"")</f>
        <v/>
      </c>
      <c r="H38" s="15">
        <f>IFERROR(INDEX('Patients'!$Y$3:$Y$402,MATCH(3,'Patients'!$AA$3:$AA$402,0)),"")</f>
        <v/>
      </c>
    </row>
    <row r="39">
      <c r="A39" s="9">
        <f>IFERROR(INDEX('Patients'!$B$3:$B$402,MATCH(4,'Patients'!$AA$3:$AA$402,0)),"")</f>
        <v/>
      </c>
      <c r="B39" s="9">
        <f>IFERROR(INDEX('Patients'!$A$3:$A$402,MATCH(4,'Patients'!$AA$3:$AA$402,0)),"")</f>
        <v/>
      </c>
      <c r="C39" s="9">
        <f>IFERROR(INDEX('Patients'!$D$3:$D$402,MATCH(4,'Patients'!$AA$3:$AA$402,0)),"")</f>
        <v/>
      </c>
      <c r="D39" s="17">
        <f>IFERROR(INDEX('Patients'!$H$3:$H$402,MATCH(4,'Patients'!$AA$3:$AA$402,0)),"")</f>
        <v/>
      </c>
      <c r="E39" s="17">
        <f>IFERROR(INDEX('Patients'!$T$3:$T$402,MATCH(4,'Patients'!$AA$3:$AA$402,0)),"")</f>
        <v/>
      </c>
      <c r="F39" s="9">
        <f>IFERROR(INDEX('Patients'!$C$3:$C$402,MATCH(4,'Patients'!$AA$3:$AA$402,0)),"")</f>
        <v/>
      </c>
      <c r="G39" s="9">
        <f>IFERROR(INDEX('Patients'!$Z$3:$Z$402,MATCH(4,'Patients'!$AA$3:$AA$402,0)),"")</f>
        <v/>
      </c>
      <c r="H39" s="15">
        <f>IFERROR(INDEX('Patients'!$Y$3:$Y$402,MATCH(4,'Patients'!$AA$3:$AA$402,0)),"")</f>
        <v/>
      </c>
    </row>
    <row r="40">
      <c r="A40" s="9">
        <f>IFERROR(INDEX('Patients'!$B$3:$B$402,MATCH(5,'Patients'!$AA$3:$AA$402,0)),"")</f>
        <v/>
      </c>
      <c r="B40" s="9">
        <f>IFERROR(INDEX('Patients'!$A$3:$A$402,MATCH(5,'Patients'!$AA$3:$AA$402,0)),"")</f>
        <v/>
      </c>
      <c r="C40" s="9">
        <f>IFERROR(INDEX('Patients'!$D$3:$D$402,MATCH(5,'Patients'!$AA$3:$AA$402,0)),"")</f>
        <v/>
      </c>
      <c r="D40" s="17">
        <f>IFERROR(INDEX('Patients'!$H$3:$H$402,MATCH(5,'Patients'!$AA$3:$AA$402,0)),"")</f>
        <v/>
      </c>
      <c r="E40" s="17">
        <f>IFERROR(INDEX('Patients'!$T$3:$T$402,MATCH(5,'Patients'!$AA$3:$AA$402,0)),"")</f>
        <v/>
      </c>
      <c r="F40" s="9">
        <f>IFERROR(INDEX('Patients'!$C$3:$C$402,MATCH(5,'Patients'!$AA$3:$AA$402,0)),"")</f>
        <v/>
      </c>
      <c r="G40" s="9">
        <f>IFERROR(INDEX('Patients'!$Z$3:$Z$402,MATCH(5,'Patients'!$AA$3:$AA$402,0)),"")</f>
        <v/>
      </c>
      <c r="H40" s="15">
        <f>IFERROR(INDEX('Patients'!$Y$3:$Y$402,MATCH(5,'Patients'!$AA$3:$AA$402,0)),"")</f>
        <v/>
      </c>
    </row>
    <row r="41">
      <c r="A41" s="9">
        <f>IFERROR(INDEX('Patients'!$B$3:$B$402,MATCH(6,'Patients'!$AA$3:$AA$402,0)),"")</f>
        <v/>
      </c>
      <c r="B41" s="9">
        <f>IFERROR(INDEX('Patients'!$A$3:$A$402,MATCH(6,'Patients'!$AA$3:$AA$402,0)),"")</f>
        <v/>
      </c>
      <c r="C41" s="9">
        <f>IFERROR(INDEX('Patients'!$D$3:$D$402,MATCH(6,'Patients'!$AA$3:$AA$402,0)),"")</f>
        <v/>
      </c>
      <c r="D41" s="17">
        <f>IFERROR(INDEX('Patients'!$H$3:$H$402,MATCH(6,'Patients'!$AA$3:$AA$402,0)),"")</f>
        <v/>
      </c>
      <c r="E41" s="17">
        <f>IFERROR(INDEX('Patients'!$T$3:$T$402,MATCH(6,'Patients'!$AA$3:$AA$402,0)),"")</f>
        <v/>
      </c>
      <c r="F41" s="9">
        <f>IFERROR(INDEX('Patients'!$C$3:$C$402,MATCH(6,'Patients'!$AA$3:$AA$402,0)),"")</f>
        <v/>
      </c>
      <c r="G41" s="9">
        <f>IFERROR(INDEX('Patients'!$Z$3:$Z$402,MATCH(6,'Patients'!$AA$3:$AA$402,0)),"")</f>
        <v/>
      </c>
      <c r="H41" s="15">
        <f>IFERROR(INDEX('Patients'!$Y$3:$Y$402,MATCH(6,'Patients'!$AA$3:$AA$402,0)),"")</f>
        <v/>
      </c>
    </row>
    <row r="42">
      <c r="A42" s="9">
        <f>IFERROR(INDEX('Patients'!$B$3:$B$402,MATCH(7,'Patients'!$AA$3:$AA$402,0)),"")</f>
        <v/>
      </c>
      <c r="B42" s="9">
        <f>IFERROR(INDEX('Patients'!$A$3:$A$402,MATCH(7,'Patients'!$AA$3:$AA$402,0)),"")</f>
        <v/>
      </c>
      <c r="C42" s="9">
        <f>IFERROR(INDEX('Patients'!$D$3:$D$402,MATCH(7,'Patients'!$AA$3:$AA$402,0)),"")</f>
        <v/>
      </c>
      <c r="D42" s="17">
        <f>IFERROR(INDEX('Patients'!$H$3:$H$402,MATCH(7,'Patients'!$AA$3:$AA$402,0)),"")</f>
        <v/>
      </c>
      <c r="E42" s="17">
        <f>IFERROR(INDEX('Patients'!$T$3:$T$402,MATCH(7,'Patients'!$AA$3:$AA$402,0)),"")</f>
        <v/>
      </c>
      <c r="F42" s="9">
        <f>IFERROR(INDEX('Patients'!$C$3:$C$402,MATCH(7,'Patients'!$AA$3:$AA$402,0)),"")</f>
        <v/>
      </c>
      <c r="G42" s="9">
        <f>IFERROR(INDEX('Patients'!$Z$3:$Z$402,MATCH(7,'Patients'!$AA$3:$AA$402,0)),"")</f>
        <v/>
      </c>
      <c r="H42" s="15">
        <f>IFERROR(INDEX('Patients'!$Y$3:$Y$402,MATCH(7,'Patients'!$AA$3:$AA$402,0)),"")</f>
        <v/>
      </c>
    </row>
    <row r="43">
      <c r="A43" s="9">
        <f>IFERROR(INDEX('Patients'!$B$3:$B$402,MATCH(8,'Patients'!$AA$3:$AA$402,0)),"")</f>
        <v/>
      </c>
      <c r="B43" s="9">
        <f>IFERROR(INDEX('Patients'!$A$3:$A$402,MATCH(8,'Patients'!$AA$3:$AA$402,0)),"")</f>
        <v/>
      </c>
      <c r="C43" s="9">
        <f>IFERROR(INDEX('Patients'!$D$3:$D$402,MATCH(8,'Patients'!$AA$3:$AA$402,0)),"")</f>
        <v/>
      </c>
      <c r="D43" s="17">
        <f>IFERROR(INDEX('Patients'!$H$3:$H$402,MATCH(8,'Patients'!$AA$3:$AA$402,0)),"")</f>
        <v/>
      </c>
      <c r="E43" s="17">
        <f>IFERROR(INDEX('Patients'!$T$3:$T$402,MATCH(8,'Patients'!$AA$3:$AA$402,0)),"")</f>
        <v/>
      </c>
      <c r="F43" s="9">
        <f>IFERROR(INDEX('Patients'!$C$3:$C$402,MATCH(8,'Patients'!$AA$3:$AA$402,0)),"")</f>
        <v/>
      </c>
      <c r="G43" s="9">
        <f>IFERROR(INDEX('Patients'!$Z$3:$Z$402,MATCH(8,'Patients'!$AA$3:$AA$402,0)),"")</f>
        <v/>
      </c>
      <c r="H43" s="15">
        <f>IFERROR(INDEX('Patients'!$Y$3:$Y$402,MATCH(8,'Patients'!$AA$3:$AA$402,0)),"")</f>
        <v/>
      </c>
    </row>
    <row r="44">
      <c r="A44" s="9">
        <f>IFERROR(INDEX('Patients'!$B$3:$B$402,MATCH(9,'Patients'!$AA$3:$AA$402,0)),"")</f>
        <v/>
      </c>
      <c r="B44" s="9">
        <f>IFERROR(INDEX('Patients'!$A$3:$A$402,MATCH(9,'Patients'!$AA$3:$AA$402,0)),"")</f>
        <v/>
      </c>
      <c r="C44" s="9">
        <f>IFERROR(INDEX('Patients'!$D$3:$D$402,MATCH(9,'Patients'!$AA$3:$AA$402,0)),"")</f>
        <v/>
      </c>
      <c r="D44" s="17">
        <f>IFERROR(INDEX('Patients'!$H$3:$H$402,MATCH(9,'Patients'!$AA$3:$AA$402,0)),"")</f>
        <v/>
      </c>
      <c r="E44" s="17">
        <f>IFERROR(INDEX('Patients'!$T$3:$T$402,MATCH(9,'Patients'!$AA$3:$AA$402,0)),"")</f>
        <v/>
      </c>
      <c r="F44" s="9">
        <f>IFERROR(INDEX('Patients'!$C$3:$C$402,MATCH(9,'Patients'!$AA$3:$AA$402,0)),"")</f>
        <v/>
      </c>
      <c r="G44" s="9">
        <f>IFERROR(INDEX('Patients'!$Z$3:$Z$402,MATCH(9,'Patients'!$AA$3:$AA$402,0)),"")</f>
        <v/>
      </c>
      <c r="H44" s="15">
        <f>IFERROR(INDEX('Patients'!$Y$3:$Y$402,MATCH(9,'Patients'!$AA$3:$AA$402,0)),"")</f>
        <v/>
      </c>
    </row>
    <row r="45">
      <c r="A45" s="9">
        <f>IFERROR(INDEX('Patients'!$B$3:$B$402,MATCH(10,'Patients'!$AA$3:$AA$402,0)),"")</f>
        <v/>
      </c>
      <c r="B45" s="9">
        <f>IFERROR(INDEX('Patients'!$A$3:$A$402,MATCH(10,'Patients'!$AA$3:$AA$402,0)),"")</f>
        <v/>
      </c>
      <c r="C45" s="9">
        <f>IFERROR(INDEX('Patients'!$D$3:$D$402,MATCH(10,'Patients'!$AA$3:$AA$402,0)),"")</f>
        <v/>
      </c>
      <c r="D45" s="17">
        <f>IFERROR(INDEX('Patients'!$H$3:$H$402,MATCH(10,'Patients'!$AA$3:$AA$402,0)),"")</f>
        <v/>
      </c>
      <c r="E45" s="17">
        <f>IFERROR(INDEX('Patients'!$T$3:$T$402,MATCH(10,'Patients'!$AA$3:$AA$402,0)),"")</f>
        <v/>
      </c>
      <c r="F45" s="9">
        <f>IFERROR(INDEX('Patients'!$C$3:$C$402,MATCH(10,'Patients'!$AA$3:$AA$402,0)),"")</f>
        <v/>
      </c>
      <c r="G45" s="9">
        <f>IFERROR(INDEX('Patients'!$Z$3:$Z$402,MATCH(10,'Patients'!$AA$3:$AA$402,0)),"")</f>
        <v/>
      </c>
      <c r="H45" s="15">
        <f>IFERROR(INDEX('Patients'!$Y$3:$Y$402,MATCH(10,'Patients'!$AA$3:$AA$402,0)),"")</f>
        <v/>
      </c>
    </row>
    <row r="46">
      <c r="A46" s="9">
        <f>IFERROR(INDEX('Patients'!$B$3:$B$402,MATCH(11,'Patients'!$AA$3:$AA$402,0)),"")</f>
        <v/>
      </c>
      <c r="B46" s="9">
        <f>IFERROR(INDEX('Patients'!$A$3:$A$402,MATCH(11,'Patients'!$AA$3:$AA$402,0)),"")</f>
        <v/>
      </c>
      <c r="C46" s="9">
        <f>IFERROR(INDEX('Patients'!$D$3:$D$402,MATCH(11,'Patients'!$AA$3:$AA$402,0)),"")</f>
        <v/>
      </c>
      <c r="D46" s="17">
        <f>IFERROR(INDEX('Patients'!$H$3:$H$402,MATCH(11,'Patients'!$AA$3:$AA$402,0)),"")</f>
        <v/>
      </c>
      <c r="E46" s="17">
        <f>IFERROR(INDEX('Patients'!$T$3:$T$402,MATCH(11,'Patients'!$AA$3:$AA$402,0)),"")</f>
        <v/>
      </c>
      <c r="F46" s="9">
        <f>IFERROR(INDEX('Patients'!$C$3:$C$402,MATCH(11,'Patients'!$AA$3:$AA$402,0)),"")</f>
        <v/>
      </c>
      <c r="G46" s="9">
        <f>IFERROR(INDEX('Patients'!$Z$3:$Z$402,MATCH(11,'Patients'!$AA$3:$AA$402,0)),"")</f>
        <v/>
      </c>
      <c r="H46" s="15">
        <f>IFERROR(INDEX('Patients'!$Y$3:$Y$402,MATCH(11,'Patients'!$AA$3:$AA$402,0)),"")</f>
        <v/>
      </c>
    </row>
    <row r="47">
      <c r="A47" s="9">
        <f>IFERROR(INDEX('Patients'!$B$3:$B$402,MATCH(12,'Patients'!$AA$3:$AA$402,0)),"")</f>
        <v/>
      </c>
      <c r="B47" s="9">
        <f>IFERROR(INDEX('Patients'!$A$3:$A$402,MATCH(12,'Patients'!$AA$3:$AA$402,0)),"")</f>
        <v/>
      </c>
      <c r="C47" s="9">
        <f>IFERROR(INDEX('Patients'!$D$3:$D$402,MATCH(12,'Patients'!$AA$3:$AA$402,0)),"")</f>
        <v/>
      </c>
      <c r="D47" s="17">
        <f>IFERROR(INDEX('Patients'!$H$3:$H$402,MATCH(12,'Patients'!$AA$3:$AA$402,0)),"")</f>
        <v/>
      </c>
      <c r="E47" s="17">
        <f>IFERROR(INDEX('Patients'!$T$3:$T$402,MATCH(12,'Patients'!$AA$3:$AA$402,0)),"")</f>
        <v/>
      </c>
      <c r="F47" s="9">
        <f>IFERROR(INDEX('Patients'!$C$3:$C$402,MATCH(12,'Patients'!$AA$3:$AA$402,0)),"")</f>
        <v/>
      </c>
      <c r="G47" s="9">
        <f>IFERROR(INDEX('Patients'!$Z$3:$Z$402,MATCH(12,'Patients'!$AA$3:$AA$402,0)),"")</f>
        <v/>
      </c>
      <c r="H47" s="15">
        <f>IFERROR(INDEX('Patients'!$Y$3:$Y$402,MATCH(12,'Patients'!$AA$3:$AA$402,0)),"")</f>
        <v/>
      </c>
    </row>
    <row r="48">
      <c r="A48" s="9">
        <f>IFERROR(INDEX('Patients'!$B$3:$B$402,MATCH(13,'Patients'!$AA$3:$AA$402,0)),"")</f>
        <v/>
      </c>
      <c r="B48" s="9">
        <f>IFERROR(INDEX('Patients'!$A$3:$A$402,MATCH(13,'Patients'!$AA$3:$AA$402,0)),"")</f>
        <v/>
      </c>
      <c r="C48" s="9">
        <f>IFERROR(INDEX('Patients'!$D$3:$D$402,MATCH(13,'Patients'!$AA$3:$AA$402,0)),"")</f>
        <v/>
      </c>
      <c r="D48" s="17">
        <f>IFERROR(INDEX('Patients'!$H$3:$H$402,MATCH(13,'Patients'!$AA$3:$AA$402,0)),"")</f>
        <v/>
      </c>
      <c r="E48" s="17">
        <f>IFERROR(INDEX('Patients'!$T$3:$T$402,MATCH(13,'Patients'!$AA$3:$AA$402,0)),"")</f>
        <v/>
      </c>
      <c r="F48" s="9">
        <f>IFERROR(INDEX('Patients'!$C$3:$C$402,MATCH(13,'Patients'!$AA$3:$AA$402,0)),"")</f>
        <v/>
      </c>
      <c r="G48" s="9">
        <f>IFERROR(INDEX('Patients'!$Z$3:$Z$402,MATCH(13,'Patients'!$AA$3:$AA$402,0)),"")</f>
        <v/>
      </c>
      <c r="H48" s="15">
        <f>IFERROR(INDEX('Patients'!$Y$3:$Y$402,MATCH(13,'Patients'!$AA$3:$AA$402,0)),"")</f>
        <v/>
      </c>
    </row>
    <row r="49">
      <c r="A49" s="9">
        <f>IFERROR(INDEX('Patients'!$B$3:$B$402,MATCH(14,'Patients'!$AA$3:$AA$402,0)),"")</f>
        <v/>
      </c>
      <c r="B49" s="9">
        <f>IFERROR(INDEX('Patients'!$A$3:$A$402,MATCH(14,'Patients'!$AA$3:$AA$402,0)),"")</f>
        <v/>
      </c>
      <c r="C49" s="9">
        <f>IFERROR(INDEX('Patients'!$D$3:$D$402,MATCH(14,'Patients'!$AA$3:$AA$402,0)),"")</f>
        <v/>
      </c>
      <c r="D49" s="17">
        <f>IFERROR(INDEX('Patients'!$H$3:$H$402,MATCH(14,'Patients'!$AA$3:$AA$402,0)),"")</f>
        <v/>
      </c>
      <c r="E49" s="17">
        <f>IFERROR(INDEX('Patients'!$T$3:$T$402,MATCH(14,'Patients'!$AA$3:$AA$402,0)),"")</f>
        <v/>
      </c>
      <c r="F49" s="9">
        <f>IFERROR(INDEX('Patients'!$C$3:$C$402,MATCH(14,'Patients'!$AA$3:$AA$402,0)),"")</f>
        <v/>
      </c>
      <c r="G49" s="9">
        <f>IFERROR(INDEX('Patients'!$Z$3:$Z$402,MATCH(14,'Patients'!$AA$3:$AA$402,0)),"")</f>
        <v/>
      </c>
      <c r="H49" s="15">
        <f>IFERROR(INDEX('Patients'!$Y$3:$Y$402,MATCH(14,'Patients'!$AA$3:$AA$402,0)),"")</f>
        <v/>
      </c>
    </row>
    <row r="50">
      <c r="A50" s="9">
        <f>IFERROR(INDEX('Patients'!$B$3:$B$402,MATCH(15,'Patients'!$AA$3:$AA$402,0)),"")</f>
        <v/>
      </c>
      <c r="B50" s="9">
        <f>IFERROR(INDEX('Patients'!$A$3:$A$402,MATCH(15,'Patients'!$AA$3:$AA$402,0)),"")</f>
        <v/>
      </c>
      <c r="C50" s="9">
        <f>IFERROR(INDEX('Patients'!$D$3:$D$402,MATCH(15,'Patients'!$AA$3:$AA$402,0)),"")</f>
        <v/>
      </c>
      <c r="D50" s="17">
        <f>IFERROR(INDEX('Patients'!$H$3:$H$402,MATCH(15,'Patients'!$AA$3:$AA$402,0)),"")</f>
        <v/>
      </c>
      <c r="E50" s="17">
        <f>IFERROR(INDEX('Patients'!$T$3:$T$402,MATCH(15,'Patients'!$AA$3:$AA$402,0)),"")</f>
        <v/>
      </c>
      <c r="F50" s="9">
        <f>IFERROR(INDEX('Patients'!$C$3:$C$402,MATCH(15,'Patients'!$AA$3:$AA$402,0)),"")</f>
        <v/>
      </c>
      <c r="G50" s="9">
        <f>IFERROR(INDEX('Patients'!$Z$3:$Z$402,MATCH(15,'Patients'!$AA$3:$AA$402,0)),"")</f>
        <v/>
      </c>
      <c r="H50" s="15">
        <f>IFERROR(INDEX('Patients'!$Y$3:$Y$402,MATCH(15,'Patients'!$AA$3:$AA$402,0)),"")</f>
        <v/>
      </c>
    </row>
    <row r="51">
      <c r="A51" s="9">
        <f>IFERROR(INDEX('Patients'!$B$3:$B$402,MATCH(16,'Patients'!$AA$3:$AA$402,0)),"")</f>
        <v/>
      </c>
      <c r="B51" s="9">
        <f>IFERROR(INDEX('Patients'!$A$3:$A$402,MATCH(16,'Patients'!$AA$3:$AA$402,0)),"")</f>
        <v/>
      </c>
      <c r="C51" s="9">
        <f>IFERROR(INDEX('Patients'!$D$3:$D$402,MATCH(16,'Patients'!$AA$3:$AA$402,0)),"")</f>
        <v/>
      </c>
      <c r="D51" s="17">
        <f>IFERROR(INDEX('Patients'!$H$3:$H$402,MATCH(16,'Patients'!$AA$3:$AA$402,0)),"")</f>
        <v/>
      </c>
      <c r="E51" s="17">
        <f>IFERROR(INDEX('Patients'!$T$3:$T$402,MATCH(16,'Patients'!$AA$3:$AA$402,0)),"")</f>
        <v/>
      </c>
      <c r="F51" s="9">
        <f>IFERROR(INDEX('Patients'!$C$3:$C$402,MATCH(16,'Patients'!$AA$3:$AA$402,0)),"")</f>
        <v/>
      </c>
      <c r="G51" s="9">
        <f>IFERROR(INDEX('Patients'!$Z$3:$Z$402,MATCH(16,'Patients'!$AA$3:$AA$402,0)),"")</f>
        <v/>
      </c>
      <c r="H51" s="15">
        <f>IFERROR(INDEX('Patients'!$Y$3:$Y$402,MATCH(16,'Patients'!$AA$3:$AA$402,0)),"")</f>
        <v/>
      </c>
    </row>
    <row r="52">
      <c r="A52" s="9">
        <f>IFERROR(INDEX('Patients'!$B$3:$B$402,MATCH(17,'Patients'!$AA$3:$AA$402,0)),"")</f>
        <v/>
      </c>
      <c r="B52" s="9">
        <f>IFERROR(INDEX('Patients'!$A$3:$A$402,MATCH(17,'Patients'!$AA$3:$AA$402,0)),"")</f>
        <v/>
      </c>
      <c r="C52" s="9">
        <f>IFERROR(INDEX('Patients'!$D$3:$D$402,MATCH(17,'Patients'!$AA$3:$AA$402,0)),"")</f>
        <v/>
      </c>
      <c r="D52" s="17">
        <f>IFERROR(INDEX('Patients'!$H$3:$H$402,MATCH(17,'Patients'!$AA$3:$AA$402,0)),"")</f>
        <v/>
      </c>
      <c r="E52" s="17">
        <f>IFERROR(INDEX('Patients'!$T$3:$T$402,MATCH(17,'Patients'!$AA$3:$AA$402,0)),"")</f>
        <v/>
      </c>
      <c r="F52" s="9">
        <f>IFERROR(INDEX('Patients'!$C$3:$C$402,MATCH(17,'Patients'!$AA$3:$AA$402,0)),"")</f>
        <v/>
      </c>
      <c r="G52" s="9">
        <f>IFERROR(INDEX('Patients'!$Z$3:$Z$402,MATCH(17,'Patients'!$AA$3:$AA$402,0)),"")</f>
        <v/>
      </c>
      <c r="H52" s="15">
        <f>IFERROR(INDEX('Patients'!$Y$3:$Y$402,MATCH(17,'Patients'!$AA$3:$AA$402,0)),"")</f>
        <v/>
      </c>
    </row>
    <row r="53">
      <c r="A53" s="9">
        <f>IFERROR(INDEX('Patients'!$B$3:$B$402,MATCH(18,'Patients'!$AA$3:$AA$402,0)),"")</f>
        <v/>
      </c>
      <c r="B53" s="9">
        <f>IFERROR(INDEX('Patients'!$A$3:$A$402,MATCH(18,'Patients'!$AA$3:$AA$402,0)),"")</f>
        <v/>
      </c>
      <c r="C53" s="9">
        <f>IFERROR(INDEX('Patients'!$D$3:$D$402,MATCH(18,'Patients'!$AA$3:$AA$402,0)),"")</f>
        <v/>
      </c>
      <c r="D53" s="17">
        <f>IFERROR(INDEX('Patients'!$H$3:$H$402,MATCH(18,'Patients'!$AA$3:$AA$402,0)),"")</f>
        <v/>
      </c>
      <c r="E53" s="17">
        <f>IFERROR(INDEX('Patients'!$T$3:$T$402,MATCH(18,'Patients'!$AA$3:$AA$402,0)),"")</f>
        <v/>
      </c>
      <c r="F53" s="9">
        <f>IFERROR(INDEX('Patients'!$C$3:$C$402,MATCH(18,'Patients'!$AA$3:$AA$402,0)),"")</f>
        <v/>
      </c>
      <c r="G53" s="9">
        <f>IFERROR(INDEX('Patients'!$Z$3:$Z$402,MATCH(18,'Patients'!$AA$3:$AA$402,0)),"")</f>
        <v/>
      </c>
      <c r="H53" s="15">
        <f>IFERROR(INDEX('Patients'!$Y$3:$Y$402,MATCH(18,'Patients'!$AA$3:$AA$402,0)),"")</f>
        <v/>
      </c>
    </row>
    <row r="54">
      <c r="A54" s="9">
        <f>IFERROR(INDEX('Patients'!$B$3:$B$402,MATCH(19,'Patients'!$AA$3:$AA$402,0)),"")</f>
        <v/>
      </c>
      <c r="B54" s="9">
        <f>IFERROR(INDEX('Patients'!$A$3:$A$402,MATCH(19,'Patients'!$AA$3:$AA$402,0)),"")</f>
        <v/>
      </c>
      <c r="C54" s="9">
        <f>IFERROR(INDEX('Patients'!$D$3:$D$402,MATCH(19,'Patients'!$AA$3:$AA$402,0)),"")</f>
        <v/>
      </c>
      <c r="D54" s="17">
        <f>IFERROR(INDEX('Patients'!$H$3:$H$402,MATCH(19,'Patients'!$AA$3:$AA$402,0)),"")</f>
        <v/>
      </c>
      <c r="E54" s="17">
        <f>IFERROR(INDEX('Patients'!$T$3:$T$402,MATCH(19,'Patients'!$AA$3:$AA$402,0)),"")</f>
        <v/>
      </c>
      <c r="F54" s="9">
        <f>IFERROR(INDEX('Patients'!$C$3:$C$402,MATCH(19,'Patients'!$AA$3:$AA$402,0)),"")</f>
        <v/>
      </c>
      <c r="G54" s="9">
        <f>IFERROR(INDEX('Patients'!$Z$3:$Z$402,MATCH(19,'Patients'!$AA$3:$AA$402,0)),"")</f>
        <v/>
      </c>
      <c r="H54" s="15">
        <f>IFERROR(INDEX('Patients'!$Y$3:$Y$402,MATCH(19,'Patients'!$AA$3:$AA$402,0)),"")</f>
        <v/>
      </c>
    </row>
    <row r="55">
      <c r="A55" s="9">
        <f>IFERROR(INDEX('Patients'!$B$3:$B$402,MATCH(20,'Patients'!$AA$3:$AA$402,0)),"")</f>
        <v/>
      </c>
      <c r="B55" s="9">
        <f>IFERROR(INDEX('Patients'!$A$3:$A$402,MATCH(20,'Patients'!$AA$3:$AA$402,0)),"")</f>
        <v/>
      </c>
      <c r="C55" s="9">
        <f>IFERROR(INDEX('Patients'!$D$3:$D$402,MATCH(20,'Patients'!$AA$3:$AA$402,0)),"")</f>
        <v/>
      </c>
      <c r="D55" s="17">
        <f>IFERROR(INDEX('Patients'!$H$3:$H$402,MATCH(20,'Patients'!$AA$3:$AA$402,0)),"")</f>
        <v/>
      </c>
      <c r="E55" s="17">
        <f>IFERROR(INDEX('Patients'!$T$3:$T$402,MATCH(20,'Patients'!$AA$3:$AA$402,0)),"")</f>
        <v/>
      </c>
      <c r="F55" s="9">
        <f>IFERROR(INDEX('Patients'!$C$3:$C$402,MATCH(20,'Patients'!$AA$3:$AA$402,0)),"")</f>
        <v/>
      </c>
      <c r="G55" s="9">
        <f>IFERROR(INDEX('Patients'!$Z$3:$Z$402,MATCH(20,'Patients'!$AA$3:$AA$402,0)),"")</f>
        <v/>
      </c>
      <c r="H55" s="15">
        <f>IFERROR(INDEX('Patients'!$Y$3:$Y$402,MATCH(20,'Patients'!$AA$3:$AA$402,0)),"")</f>
        <v/>
      </c>
    </row>
    <row r="56">
      <c r="A56" s="2" t="inlineStr">
        <is>
          <t>Next visit due = last visit + the interval in weeks. Overdue once the grace days on Settings pass with nothing booked.</t>
        </is>
      </c>
    </row>
    <row r="57">
      <c r="A57" s="2" t="inlineStr">
        <is>
          <t>Due by today = the down payment + one instalment for each whole month since the start, up to the number of instalments.</t>
        </is>
      </c>
    </row>
    <row r="59">
      <c r="A59" s="11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59:G59"/>
  </mergeCells>
  <conditionalFormatting sqref="B8">
    <cfRule type="expression" priority="1" dxfId="0">
      <formula>B8&gt;0</formula>
    </cfRule>
  </conditionalFormatting>
  <conditionalFormatting sqref="B14">
    <cfRule type="expression" priority="2" dxfId="1">
      <formula>B14&gt;0</formula>
    </cfRule>
  </conditionalFormatting>
  <conditionalFormatting sqref="B16">
    <cfRule type="expression" priority="3" dxfId="0">
      <formula>B16&gt;0</formula>
    </cfRule>
  </conditionalFormatting>
  <conditionalFormatting sqref="E20:E25">
    <cfRule type="expression" priority="4" dxfId="1">
      <formula>AND(ISNUMBER(E20),E20&gt;0)</formula>
    </cfRule>
  </conditionalFormatting>
  <conditionalFormatting sqref="D20:D25">
    <cfRule type="expression" priority="5" dxfId="1">
      <formula>AND(ISNUMBER(D20),D20&gt;1+'Settings'!$B$8)</formula>
    </cfRule>
  </conditionalFormatting>
  <conditionalFormatting sqref="E29:E32">
    <cfRule type="expression" priority="6" dxfId="1">
      <formula>AND(ISNUMBER(E29),E29&gt;0)</formula>
    </cfRule>
  </conditionalFormatting>
  <conditionalFormatting sqref="D29:D32">
    <cfRule type="expression" priority="7" dxfId="1">
      <formula>AND(ISNUMBER(D29),D29&gt;1+'Settings'!$B$8)</formula>
    </cfRule>
  </conditionalFormatting>
  <conditionalFormatting sqref="G36:G55">
    <cfRule type="expression" priority="8" dxfId="0">
      <formula>G36="Behind"</formula>
    </cfRule>
    <cfRule type="expression" priority="9" dxfId="1">
      <formula>G36="1 instalment behind"</formula>
    </cfRule>
  </conditionalFormatting>
  <hyperlinks>
    <hyperlink xmlns:r="http://schemas.openxmlformats.org/officeDocument/2006/relationships" ref="A59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Dentolize</dc:creator>
  <dc:title xmlns:dc="http://purl.org/dc/elements/1.1/">orthodontic-patient-tracker</dc:title>
  <dcterms:created xmlns:dcterms="http://purl.org/dc/terms/" xmlns:xsi="http://www.w3.org/2001/XMLSchema-instance" xsi:type="dcterms:W3CDTF">2026-10-21T09:53:09Z</dcterms:created>
  <dcterms:modified xmlns:dcterms="http://purl.org/dc/terms/" xmlns:xsi="http://www.w3.org/2001/XMLSchema-instance" xsi:type="dcterms:W3CDTF">2026-10-21T09:53:09Z</dcterms:modified>
</cp:coreProperties>
</file>